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autoCompressPictures="0"/>
  <mc:AlternateContent xmlns:mc="http://schemas.openxmlformats.org/markup-compatibility/2006">
    <mc:Choice Requires="x15">
      <x15ac:absPath xmlns:x15ac="http://schemas.microsoft.com/office/spreadsheetml/2010/11/ac" url="F:\CM\Forms and Documents\"/>
    </mc:Choice>
  </mc:AlternateContent>
  <xr:revisionPtr revIDLastSave="0" documentId="13_ncr:1_{28D73542-AA6E-45A5-8F05-17C590D12B28}" xr6:coauthVersionLast="47" xr6:coauthVersionMax="47" xr10:uidLastSave="{00000000-0000-0000-0000-000000000000}"/>
  <bookViews>
    <workbookView xWindow="-120" yWindow="-120" windowWidth="29040" windowHeight="15720" tabRatio="647" activeTab="1" xr2:uid="{00000000-000D-0000-FFFF-FFFF00000000}"/>
  </bookViews>
  <sheets>
    <sheet name="Instructions" sheetId="4" r:id="rId1"/>
    <sheet name="CMW" sheetId="2" r:id="rId2"/>
    <sheet name="CMAreas" sheetId="9" r:id="rId3"/>
    <sheet name="Cat 1 Pt Calc" sheetId="5" r:id="rId4"/>
    <sheet name="picklists" sheetId="3" r:id="rId5"/>
    <sheet name="Compatibility Report" sheetId="6" r:id="rId6"/>
    <sheet name="Revision Log" sheetId="10" r:id="rId7"/>
    <sheet name="Sheet1" sheetId="11" r:id="rId8"/>
  </sheets>
  <definedNames>
    <definedName name="_xlnm._FilterDatabase" localSheetId="2" hidden="1">CMAreas!$B$2:$C$2</definedName>
    <definedName name="Author">picklists!$D$34:$D$35</definedName>
    <definedName name="Cat_4_Points">CMW!$F$42</definedName>
    <definedName name="Cat2PointPerMonthChairs">picklists!$C$46</definedName>
    <definedName name="Cat2PointPerMonthMembers">picklists!$C$47</definedName>
    <definedName name="Cat7Activities">#REF!</definedName>
    <definedName name="Category_1_Points">CMW!$F$14</definedName>
    <definedName name="Category_2_Points">CMW!$F$23</definedName>
    <definedName name="Category_3_Points">CMW!$F$33</definedName>
    <definedName name="Category_5_Points">CMW!$F$113</definedName>
    <definedName name="Category_7_Points">CMW!$F$126</definedName>
    <definedName name="CertificationType">CMW!$E$5</definedName>
    <definedName name="certtype">picklists!$F$23:$F$25</definedName>
    <definedName name="cmcycle">picklists!$B$5:$B$16</definedName>
    <definedName name="CMCycleLengthValue">CMW!$E$6</definedName>
    <definedName name="CMEND">CMW!$E$8</definedName>
    <definedName name="CMSTART">CMW!$E$7</definedName>
    <definedName name="CommRole">picklists!$H$16:$H$20</definedName>
    <definedName name="cycle">picklists!$F$4:$F$5</definedName>
    <definedName name="cycleend">picklists!$D$4:$D$14</definedName>
    <definedName name="cyclestart">picklists!$B$4:$B$16</definedName>
    <definedName name="Delivery">picklists!$L$5:$L$6</definedName>
    <definedName name="end">picklists!$D$4:$D$16</definedName>
    <definedName name="maxmonths">CMW!$O$6</definedName>
    <definedName name="pointcategory">picklists!$B$27:$B$29</definedName>
    <definedName name="_xlnm.Print_Area" localSheetId="1">CMW!$A$1:$F$157</definedName>
    <definedName name="speccond">picklists!$H$23:$H$25</definedName>
    <definedName name="start">picklists!$B$4:$B$16</definedName>
    <definedName name="teach">picklists!$I$4:$I$8</definedName>
    <definedName name="yesno">picklists!$B$23:$B$25</definedName>
    <definedName name="yespostal">picklists!$B$34:$B$35</definedName>
    <definedName name="yn">picklists!$B$34:$B$35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8" i="2" l="1"/>
  <c r="I48" i="2" s="1"/>
  <c r="J48" i="2"/>
  <c r="M48" i="2"/>
  <c r="N48" i="2" s="1"/>
  <c r="R48" i="2"/>
  <c r="S48" i="2"/>
  <c r="T48" i="2" s="1"/>
  <c r="V48" i="2"/>
  <c r="H49" i="2"/>
  <c r="I49" i="2" s="1"/>
  <c r="J49" i="2"/>
  <c r="M49" i="2"/>
  <c r="N49" i="2" s="1"/>
  <c r="R49" i="2"/>
  <c r="S49" i="2"/>
  <c r="T49" i="2" s="1"/>
  <c r="V49" i="2"/>
  <c r="H50" i="2"/>
  <c r="I50" i="2" s="1"/>
  <c r="J50" i="2"/>
  <c r="M50" i="2"/>
  <c r="N50" i="2" s="1"/>
  <c r="R50" i="2"/>
  <c r="T50" i="2" s="1"/>
  <c r="S50" i="2"/>
  <c r="V50" i="2"/>
  <c r="G138" i="2"/>
  <c r="G139" i="2"/>
  <c r="AD138" i="2"/>
  <c r="AD139" i="2"/>
  <c r="AD133" i="2"/>
  <c r="X133" i="2"/>
  <c r="X134" i="2"/>
  <c r="AD134" i="2" s="1"/>
  <c r="X135" i="2"/>
  <c r="AD135" i="2" s="1"/>
  <c r="X136" i="2"/>
  <c r="AD136" i="2" s="1"/>
  <c r="X137" i="2"/>
  <c r="AD137" i="2" s="1"/>
  <c r="X138" i="2"/>
  <c r="X139" i="2"/>
  <c r="Q117" i="2"/>
  <c r="R117" i="2"/>
  <c r="S117" i="2"/>
  <c r="Q118" i="2"/>
  <c r="R118" i="2"/>
  <c r="S118" i="2"/>
  <c r="Q119" i="2"/>
  <c r="R119" i="2"/>
  <c r="S119" i="2"/>
  <c r="Q120" i="2"/>
  <c r="R120" i="2"/>
  <c r="S120" i="2"/>
  <c r="Q121" i="2"/>
  <c r="G121" i="2" s="1"/>
  <c r="R121" i="2"/>
  <c r="S121" i="2"/>
  <c r="Q122" i="2"/>
  <c r="G122" i="2" s="1"/>
  <c r="R122" i="2"/>
  <c r="S122" i="2"/>
  <c r="Q123" i="2"/>
  <c r="G123" i="2" s="1"/>
  <c r="R123" i="2"/>
  <c r="S123" i="2"/>
  <c r="Q124" i="2"/>
  <c r="R124" i="2"/>
  <c r="G124" i="2" s="1"/>
  <c r="S124" i="2"/>
  <c r="S116" i="2"/>
  <c r="R116" i="2"/>
  <c r="Q116" i="2"/>
  <c r="H117" i="2"/>
  <c r="I117" i="2"/>
  <c r="J117" i="2"/>
  <c r="K117" i="2"/>
  <c r="L117" i="2"/>
  <c r="U117" i="2"/>
  <c r="V117" i="2"/>
  <c r="W117" i="2"/>
  <c r="X117" i="2"/>
  <c r="H118" i="2"/>
  <c r="I118" i="2"/>
  <c r="J118" i="2"/>
  <c r="K118" i="2"/>
  <c r="L118" i="2"/>
  <c r="U118" i="2"/>
  <c r="V118" i="2"/>
  <c r="W118" i="2"/>
  <c r="X118" i="2"/>
  <c r="H119" i="2"/>
  <c r="I119" i="2"/>
  <c r="J119" i="2"/>
  <c r="K119" i="2"/>
  <c r="L119" i="2"/>
  <c r="U119" i="2"/>
  <c r="V119" i="2"/>
  <c r="W119" i="2"/>
  <c r="X119" i="2"/>
  <c r="H120" i="2"/>
  <c r="I120" i="2"/>
  <c r="J120" i="2"/>
  <c r="K120" i="2"/>
  <c r="L120" i="2"/>
  <c r="U120" i="2"/>
  <c r="V120" i="2"/>
  <c r="Y120" i="2" s="1"/>
  <c r="W120" i="2"/>
  <c r="X120" i="2"/>
  <c r="H121" i="2"/>
  <c r="P121" i="2" s="1"/>
  <c r="I121" i="2"/>
  <c r="J121" i="2"/>
  <c r="K121" i="2"/>
  <c r="L121" i="2"/>
  <c r="U121" i="2"/>
  <c r="Y121" i="2" s="1"/>
  <c r="V121" i="2"/>
  <c r="W121" i="2"/>
  <c r="X121" i="2"/>
  <c r="AA121" i="2"/>
  <c r="H122" i="2"/>
  <c r="P122" i="2" s="1"/>
  <c r="I122" i="2"/>
  <c r="J122" i="2"/>
  <c r="K122" i="2"/>
  <c r="L122" i="2"/>
  <c r="U122" i="2"/>
  <c r="V122" i="2"/>
  <c r="W122" i="2"/>
  <c r="X122" i="2"/>
  <c r="Y122" i="2" s="1"/>
  <c r="H123" i="2"/>
  <c r="P123" i="2" s="1"/>
  <c r="I123" i="2"/>
  <c r="J123" i="2"/>
  <c r="K123" i="2"/>
  <c r="L123" i="2"/>
  <c r="U123" i="2"/>
  <c r="Y123" i="2" s="1"/>
  <c r="V123" i="2"/>
  <c r="W123" i="2"/>
  <c r="X123" i="2"/>
  <c r="H124" i="2"/>
  <c r="I124" i="2"/>
  <c r="P124" i="2" s="1"/>
  <c r="J124" i="2"/>
  <c r="K124" i="2"/>
  <c r="L124" i="2"/>
  <c r="U124" i="2"/>
  <c r="V124" i="2"/>
  <c r="W124" i="2"/>
  <c r="X124" i="2"/>
  <c r="Y124" i="2"/>
  <c r="I116" i="2"/>
  <c r="L116" i="2"/>
  <c r="K116" i="2"/>
  <c r="J116" i="2"/>
  <c r="H116" i="2"/>
  <c r="F26" i="2"/>
  <c r="H134" i="2"/>
  <c r="K134" i="2"/>
  <c r="L134" i="2"/>
  <c r="M134" i="2"/>
  <c r="N134" i="2"/>
  <c r="R134" i="2"/>
  <c r="S134" i="2"/>
  <c r="E134" i="2" s="1"/>
  <c r="T134" i="2"/>
  <c r="U134" i="2"/>
  <c r="V134" i="2"/>
  <c r="W134" i="2"/>
  <c r="Y134" i="2"/>
  <c r="AE134" i="2" s="1"/>
  <c r="Z134" i="2"/>
  <c r="AF134" i="2" s="1"/>
  <c r="AA134" i="2"/>
  <c r="AG134" i="2" s="1"/>
  <c r="H135" i="2"/>
  <c r="K135" i="2"/>
  <c r="O135" i="2" s="1"/>
  <c r="L135" i="2"/>
  <c r="M135" i="2"/>
  <c r="N135" i="2"/>
  <c r="R135" i="2"/>
  <c r="S135" i="2"/>
  <c r="T135" i="2"/>
  <c r="U135" i="2"/>
  <c r="V135" i="2"/>
  <c r="W135" i="2"/>
  <c r="AC135" i="2" s="1"/>
  <c r="Y135" i="2"/>
  <c r="AE135" i="2" s="1"/>
  <c r="Z135" i="2"/>
  <c r="AF135" i="2" s="1"/>
  <c r="AA135" i="2"/>
  <c r="AG135" i="2" s="1"/>
  <c r="H136" i="2"/>
  <c r="K136" i="2"/>
  <c r="L136" i="2"/>
  <c r="M136" i="2"/>
  <c r="N136" i="2"/>
  <c r="R136" i="2"/>
  <c r="S136" i="2"/>
  <c r="T136" i="2"/>
  <c r="U136" i="2"/>
  <c r="V136" i="2"/>
  <c r="W136" i="2"/>
  <c r="Y136" i="2"/>
  <c r="AE136" i="2" s="1"/>
  <c r="Z136" i="2"/>
  <c r="AF136" i="2" s="1"/>
  <c r="AA136" i="2"/>
  <c r="AG136" i="2" s="1"/>
  <c r="H137" i="2"/>
  <c r="K137" i="2"/>
  <c r="L137" i="2"/>
  <c r="M137" i="2"/>
  <c r="N137" i="2"/>
  <c r="R137" i="2"/>
  <c r="S137" i="2"/>
  <c r="T137" i="2"/>
  <c r="U137" i="2"/>
  <c r="V137" i="2"/>
  <c r="W137" i="2"/>
  <c r="AC137" i="2" s="1"/>
  <c r="Y137" i="2"/>
  <c r="AE137" i="2" s="1"/>
  <c r="Z137" i="2"/>
  <c r="AF137" i="2" s="1"/>
  <c r="AA137" i="2"/>
  <c r="AG137" i="2" s="1"/>
  <c r="F138" i="2"/>
  <c r="Q138" i="2" s="1"/>
  <c r="H138" i="2"/>
  <c r="K138" i="2"/>
  <c r="L138" i="2"/>
  <c r="M138" i="2"/>
  <c r="N138" i="2"/>
  <c r="O138" i="2"/>
  <c r="R138" i="2"/>
  <c r="S138" i="2"/>
  <c r="T138" i="2"/>
  <c r="U138" i="2"/>
  <c r="E138" i="2" s="1"/>
  <c r="V138" i="2"/>
  <c r="W138" i="2"/>
  <c r="Y138" i="2"/>
  <c r="AE138" i="2" s="1"/>
  <c r="Z138" i="2"/>
  <c r="AF138" i="2" s="1"/>
  <c r="AA138" i="2"/>
  <c r="AG138" i="2" s="1"/>
  <c r="F139" i="2"/>
  <c r="Q139" i="2" s="1"/>
  <c r="H139" i="2"/>
  <c r="K139" i="2"/>
  <c r="O139" i="2" s="1"/>
  <c r="L139" i="2"/>
  <c r="M139" i="2"/>
  <c r="N139" i="2"/>
  <c r="R139" i="2"/>
  <c r="S139" i="2"/>
  <c r="T139" i="2"/>
  <c r="U139" i="2"/>
  <c r="E139" i="2" s="1"/>
  <c r="V139" i="2"/>
  <c r="W139" i="2"/>
  <c r="AB139" i="2" s="1"/>
  <c r="Y139" i="2"/>
  <c r="AE139" i="2" s="1"/>
  <c r="Z139" i="2"/>
  <c r="AF139" i="2" s="1"/>
  <c r="AA139" i="2"/>
  <c r="AG139" i="2"/>
  <c r="W144" i="2"/>
  <c r="AB144" i="2" s="1"/>
  <c r="AG144" i="2" s="1"/>
  <c r="F144" i="2" s="1"/>
  <c r="W145" i="2"/>
  <c r="AA145" i="2" s="1"/>
  <c r="W146" i="2"/>
  <c r="AA146" i="2" s="1"/>
  <c r="W147" i="2"/>
  <c r="W143" i="2"/>
  <c r="AB143" i="2" s="1"/>
  <c r="AG143" i="2" s="1"/>
  <c r="F143" i="2" s="1"/>
  <c r="AF133" i="2"/>
  <c r="H133" i="2"/>
  <c r="K133" i="2"/>
  <c r="L133" i="2"/>
  <c r="M133" i="2"/>
  <c r="N133" i="2"/>
  <c r="R133" i="2"/>
  <c r="S133" i="2"/>
  <c r="T133" i="2"/>
  <c r="U133" i="2"/>
  <c r="V133" i="2"/>
  <c r="W133" i="2"/>
  <c r="AC133" i="2" s="1"/>
  <c r="Y133" i="2"/>
  <c r="AE133" i="2" s="1"/>
  <c r="AA133" i="2"/>
  <c r="F29" i="2"/>
  <c r="Q29" i="2" s="1"/>
  <c r="G29" i="2" s="1"/>
  <c r="F30" i="2"/>
  <c r="Q30" i="2" s="1"/>
  <c r="G30" i="2" s="1"/>
  <c r="F31" i="2"/>
  <c r="Q31" i="2" s="1"/>
  <c r="G31" i="2" s="1"/>
  <c r="J30" i="2"/>
  <c r="A17" i="2"/>
  <c r="A18" i="2" s="1"/>
  <c r="I143" i="2"/>
  <c r="F16" i="5"/>
  <c r="F18" i="5" s="1"/>
  <c r="J2" i="2"/>
  <c r="K2" i="2" s="1"/>
  <c r="U116" i="2"/>
  <c r="V116" i="2"/>
  <c r="X116" i="2"/>
  <c r="W116" i="2"/>
  <c r="F121" i="2"/>
  <c r="F122" i="2"/>
  <c r="AA122" i="2" s="1"/>
  <c r="F123" i="2"/>
  <c r="AA123" i="2" s="1"/>
  <c r="F124" i="2"/>
  <c r="AA124" i="2" s="1"/>
  <c r="L8" i="2"/>
  <c r="M8" i="2"/>
  <c r="L9" i="2"/>
  <c r="M9" i="2"/>
  <c r="L10" i="2"/>
  <c r="M10" i="2"/>
  <c r="P10" i="2" s="1"/>
  <c r="L11" i="2"/>
  <c r="M11" i="2"/>
  <c r="O11" i="2" s="1"/>
  <c r="L12" i="2"/>
  <c r="M12" i="2"/>
  <c r="L13" i="2"/>
  <c r="M13" i="2"/>
  <c r="L14" i="2"/>
  <c r="M14" i="2"/>
  <c r="P14" i="2" s="1"/>
  <c r="L15" i="2"/>
  <c r="M15" i="2"/>
  <c r="O15" i="2" s="1"/>
  <c r="F20" i="2"/>
  <c r="F21" i="2"/>
  <c r="L16" i="2"/>
  <c r="M16" i="2"/>
  <c r="L17" i="2"/>
  <c r="M17" i="2"/>
  <c r="L18" i="2"/>
  <c r="M18" i="2"/>
  <c r="L19" i="2"/>
  <c r="M19" i="2"/>
  <c r="P19" i="2" s="1"/>
  <c r="T20" i="2"/>
  <c r="K3" i="2"/>
  <c r="L3" i="2"/>
  <c r="J3" i="2"/>
  <c r="K5" i="2"/>
  <c r="L5" i="2"/>
  <c r="G5" i="2" s="1"/>
  <c r="F52" i="2"/>
  <c r="Q52" i="2" s="1"/>
  <c r="G52" i="2" s="1"/>
  <c r="F53" i="2"/>
  <c r="Q53" i="2" s="1"/>
  <c r="G53" i="2" s="1"/>
  <c r="F54" i="2"/>
  <c r="Q54" i="2" s="1"/>
  <c r="G54" i="2" s="1"/>
  <c r="F55" i="2"/>
  <c r="Q55" i="2" s="1"/>
  <c r="G55" i="2" s="1"/>
  <c r="F56" i="2"/>
  <c r="Q56" i="2" s="1"/>
  <c r="G56" i="2" s="1"/>
  <c r="F57" i="2"/>
  <c r="Q57" i="2" s="1"/>
  <c r="G57" i="2" s="1"/>
  <c r="F58" i="2"/>
  <c r="Q58" i="2" s="1"/>
  <c r="G58" i="2" s="1"/>
  <c r="F59" i="2"/>
  <c r="Q59" i="2" s="1"/>
  <c r="G59" i="2" s="1"/>
  <c r="F60" i="2"/>
  <c r="F61" i="2"/>
  <c r="Q61" i="2" s="1"/>
  <c r="G61" i="2" s="1"/>
  <c r="F62" i="2"/>
  <c r="Q62" i="2" s="1"/>
  <c r="G62" i="2" s="1"/>
  <c r="F63" i="2"/>
  <c r="Q63" i="2" s="1"/>
  <c r="G63" i="2" s="1"/>
  <c r="F64" i="2"/>
  <c r="Q64" i="2" s="1"/>
  <c r="G64" i="2" s="1"/>
  <c r="F65" i="2"/>
  <c r="Q65" i="2" s="1"/>
  <c r="G65" i="2" s="1"/>
  <c r="F66" i="2"/>
  <c r="Q66" i="2" s="1"/>
  <c r="G66" i="2" s="1"/>
  <c r="F67" i="2"/>
  <c r="Q67" i="2" s="1"/>
  <c r="G67" i="2" s="1"/>
  <c r="F68" i="2"/>
  <c r="Q68" i="2" s="1"/>
  <c r="G68" i="2" s="1"/>
  <c r="F69" i="2"/>
  <c r="Q69" i="2" s="1"/>
  <c r="G69" i="2" s="1"/>
  <c r="F70" i="2"/>
  <c r="Q70" i="2" s="1"/>
  <c r="G70" i="2" s="1"/>
  <c r="F71" i="2"/>
  <c r="F72" i="2"/>
  <c r="Q72" i="2" s="1"/>
  <c r="G72" i="2" s="1"/>
  <c r="F73" i="2"/>
  <c r="Q73" i="2" s="1"/>
  <c r="G73" i="2" s="1"/>
  <c r="F74" i="2"/>
  <c r="Q74" i="2" s="1"/>
  <c r="G74" i="2" s="1"/>
  <c r="F75" i="2"/>
  <c r="Q75" i="2" s="1"/>
  <c r="G75" i="2" s="1"/>
  <c r="F76" i="2"/>
  <c r="Q76" i="2" s="1"/>
  <c r="G76" i="2" s="1"/>
  <c r="F77" i="2"/>
  <c r="Q77" i="2" s="1"/>
  <c r="G77" i="2" s="1"/>
  <c r="F78" i="2"/>
  <c r="Q78" i="2" s="1"/>
  <c r="G78" i="2" s="1"/>
  <c r="F79" i="2"/>
  <c r="Q79" i="2" s="1"/>
  <c r="G79" i="2" s="1"/>
  <c r="F80" i="2"/>
  <c r="Q80" i="2" s="1"/>
  <c r="G80" i="2" s="1"/>
  <c r="F81" i="2"/>
  <c r="Q81" i="2" s="1"/>
  <c r="G81" i="2" s="1"/>
  <c r="F82" i="2"/>
  <c r="Q82" i="2" s="1"/>
  <c r="G82" i="2" s="1"/>
  <c r="F83" i="2"/>
  <c r="Q83" i="2" s="1"/>
  <c r="G83" i="2" s="1"/>
  <c r="F84" i="2"/>
  <c r="Q84" i="2" s="1"/>
  <c r="G84" i="2" s="1"/>
  <c r="F85" i="2"/>
  <c r="Q85" i="2" s="1"/>
  <c r="G85" i="2" s="1"/>
  <c r="F86" i="2"/>
  <c r="Q86" i="2" s="1"/>
  <c r="G86" i="2" s="1"/>
  <c r="F87" i="2"/>
  <c r="Q87" i="2" s="1"/>
  <c r="G87" i="2" s="1"/>
  <c r="F88" i="2"/>
  <c r="Q88" i="2" s="1"/>
  <c r="G88" i="2" s="1"/>
  <c r="F89" i="2"/>
  <c r="Q89" i="2" s="1"/>
  <c r="G89" i="2" s="1"/>
  <c r="F90" i="2"/>
  <c r="Q90" i="2" s="1"/>
  <c r="G90" i="2" s="1"/>
  <c r="F91" i="2"/>
  <c r="Q91" i="2" s="1"/>
  <c r="G91" i="2" s="1"/>
  <c r="F92" i="2"/>
  <c r="Q92" i="2" s="1"/>
  <c r="G92" i="2" s="1"/>
  <c r="F93" i="2"/>
  <c r="Q93" i="2" s="1"/>
  <c r="G93" i="2" s="1"/>
  <c r="F94" i="2"/>
  <c r="Q94" i="2" s="1"/>
  <c r="G94" i="2" s="1"/>
  <c r="F95" i="2"/>
  <c r="Q95" i="2" s="1"/>
  <c r="G95" i="2" s="1"/>
  <c r="F96" i="2"/>
  <c r="Q96" i="2" s="1"/>
  <c r="G96" i="2" s="1"/>
  <c r="F97" i="2"/>
  <c r="Q97" i="2" s="1"/>
  <c r="G97" i="2" s="1"/>
  <c r="F98" i="2"/>
  <c r="Q98" i="2" s="1"/>
  <c r="G98" i="2" s="1"/>
  <c r="F99" i="2"/>
  <c r="Q99" i="2" s="1"/>
  <c r="G99" i="2" s="1"/>
  <c r="F100" i="2"/>
  <c r="Q100" i="2" s="1"/>
  <c r="G100" i="2" s="1"/>
  <c r="F101" i="2"/>
  <c r="Q101" i="2" s="1"/>
  <c r="G101" i="2" s="1"/>
  <c r="F102" i="2"/>
  <c r="Q102" i="2" s="1"/>
  <c r="G102" i="2" s="1"/>
  <c r="A3" i="2"/>
  <c r="X18" i="2"/>
  <c r="X132" i="2"/>
  <c r="H144" i="2"/>
  <c r="H145" i="2"/>
  <c r="H146" i="2"/>
  <c r="AA147" i="2"/>
  <c r="H147" i="2"/>
  <c r="K143" i="2"/>
  <c r="L143" i="2"/>
  <c r="H143" i="2"/>
  <c r="F146" i="2"/>
  <c r="F147" i="2"/>
  <c r="R144" i="2"/>
  <c r="R145" i="2"/>
  <c r="R146" i="2"/>
  <c r="R147" i="2"/>
  <c r="R143" i="2"/>
  <c r="Z132" i="2"/>
  <c r="E146" i="2"/>
  <c r="E145" i="2"/>
  <c r="E144" i="2"/>
  <c r="E143" i="2"/>
  <c r="Q60" i="2"/>
  <c r="G60" i="2" s="1"/>
  <c r="Q71" i="2"/>
  <c r="G71" i="2" s="1"/>
  <c r="H51" i="2"/>
  <c r="I51" i="2" s="1"/>
  <c r="H52" i="2"/>
  <c r="I52" i="2" s="1"/>
  <c r="H53" i="2"/>
  <c r="I53" i="2" s="1"/>
  <c r="H54" i="2"/>
  <c r="I54" i="2" s="1"/>
  <c r="H55" i="2"/>
  <c r="I55" i="2" s="1"/>
  <c r="H56" i="2"/>
  <c r="I56" i="2" s="1"/>
  <c r="H57" i="2"/>
  <c r="I57" i="2" s="1"/>
  <c r="H58" i="2"/>
  <c r="I58" i="2"/>
  <c r="H59" i="2"/>
  <c r="I59" i="2" s="1"/>
  <c r="H60" i="2"/>
  <c r="I60" i="2" s="1"/>
  <c r="H61" i="2"/>
  <c r="I61" i="2" s="1"/>
  <c r="H62" i="2"/>
  <c r="I62" i="2" s="1"/>
  <c r="H63" i="2"/>
  <c r="I63" i="2" s="1"/>
  <c r="H64" i="2"/>
  <c r="I64" i="2" s="1"/>
  <c r="H65" i="2"/>
  <c r="I65" i="2" s="1"/>
  <c r="H66" i="2"/>
  <c r="I66" i="2" s="1"/>
  <c r="H67" i="2"/>
  <c r="I67" i="2" s="1"/>
  <c r="H68" i="2"/>
  <c r="I68" i="2" s="1"/>
  <c r="H69" i="2"/>
  <c r="I69" i="2" s="1"/>
  <c r="H70" i="2"/>
  <c r="I70" i="2" s="1"/>
  <c r="H71" i="2"/>
  <c r="I71" i="2" s="1"/>
  <c r="H72" i="2"/>
  <c r="I72" i="2" s="1"/>
  <c r="H73" i="2"/>
  <c r="I73" i="2" s="1"/>
  <c r="H74" i="2"/>
  <c r="I74" i="2" s="1"/>
  <c r="H75" i="2"/>
  <c r="I75" i="2" s="1"/>
  <c r="H76" i="2"/>
  <c r="I76" i="2" s="1"/>
  <c r="H77" i="2"/>
  <c r="I77" i="2" s="1"/>
  <c r="H78" i="2"/>
  <c r="I78" i="2" s="1"/>
  <c r="H79" i="2"/>
  <c r="I79" i="2" s="1"/>
  <c r="H80" i="2"/>
  <c r="I80" i="2" s="1"/>
  <c r="H81" i="2"/>
  <c r="I81" i="2" s="1"/>
  <c r="H82" i="2"/>
  <c r="I82" i="2" s="1"/>
  <c r="H83" i="2"/>
  <c r="I83" i="2" s="1"/>
  <c r="H84" i="2"/>
  <c r="I84" i="2" s="1"/>
  <c r="H85" i="2"/>
  <c r="I85" i="2" s="1"/>
  <c r="H86" i="2"/>
  <c r="I86" i="2" s="1"/>
  <c r="H87" i="2"/>
  <c r="I87" i="2" s="1"/>
  <c r="H88" i="2"/>
  <c r="I88" i="2" s="1"/>
  <c r="H89" i="2"/>
  <c r="I89" i="2" s="1"/>
  <c r="H90" i="2"/>
  <c r="I90" i="2" s="1"/>
  <c r="H91" i="2"/>
  <c r="I91" i="2" s="1"/>
  <c r="H92" i="2"/>
  <c r="I92" i="2"/>
  <c r="H93" i="2"/>
  <c r="I93" i="2" s="1"/>
  <c r="H94" i="2"/>
  <c r="I94" i="2" s="1"/>
  <c r="H95" i="2"/>
  <c r="I95" i="2" s="1"/>
  <c r="H96" i="2"/>
  <c r="I96" i="2" s="1"/>
  <c r="H97" i="2"/>
  <c r="I97" i="2" s="1"/>
  <c r="H98" i="2"/>
  <c r="I98" i="2"/>
  <c r="H99" i="2"/>
  <c r="I99" i="2" s="1"/>
  <c r="H100" i="2"/>
  <c r="I100" i="2" s="1"/>
  <c r="H101" i="2"/>
  <c r="I101" i="2" s="1"/>
  <c r="H102" i="2"/>
  <c r="I102" i="2" s="1"/>
  <c r="Q103" i="2"/>
  <c r="Q104" i="2"/>
  <c r="Q105" i="2"/>
  <c r="Q106" i="2"/>
  <c r="Q107" i="2"/>
  <c r="Q108" i="2"/>
  <c r="Q109" i="2"/>
  <c r="Q110" i="2"/>
  <c r="Q111" i="2"/>
  <c r="H27" i="2"/>
  <c r="I27" i="2"/>
  <c r="K27" i="2"/>
  <c r="L27" i="2"/>
  <c r="M27" i="2"/>
  <c r="N27" i="2"/>
  <c r="H29" i="2"/>
  <c r="I29" i="2"/>
  <c r="K29" i="2"/>
  <c r="L29" i="2"/>
  <c r="M29" i="2"/>
  <c r="N29" i="2"/>
  <c r="H30" i="2"/>
  <c r="I30" i="2"/>
  <c r="K30" i="2"/>
  <c r="L30" i="2"/>
  <c r="M30" i="2"/>
  <c r="N30" i="2"/>
  <c r="H31" i="2"/>
  <c r="I31" i="2"/>
  <c r="K31" i="2"/>
  <c r="L31" i="2"/>
  <c r="M31" i="2"/>
  <c r="N31" i="2"/>
  <c r="N6" i="2"/>
  <c r="O6" i="2" s="1"/>
  <c r="M26" i="2"/>
  <c r="K26" i="2"/>
  <c r="L26" i="2"/>
  <c r="N26" i="2"/>
  <c r="H26" i="2"/>
  <c r="I26" i="2"/>
  <c r="H10" i="2"/>
  <c r="G10" i="2" s="1"/>
  <c r="G6" i="2"/>
  <c r="J55" i="2"/>
  <c r="M55" i="2"/>
  <c r="N55" i="2" s="1"/>
  <c r="R55" i="2"/>
  <c r="S55" i="2"/>
  <c r="V55" i="2"/>
  <c r="J56" i="2"/>
  <c r="M56" i="2"/>
  <c r="N56" i="2" s="1"/>
  <c r="R56" i="2"/>
  <c r="S56" i="2"/>
  <c r="T56" i="2" s="1"/>
  <c r="V56" i="2"/>
  <c r="J57" i="2"/>
  <c r="M57" i="2"/>
  <c r="N57" i="2" s="1"/>
  <c r="R57" i="2"/>
  <c r="S57" i="2"/>
  <c r="V57" i="2"/>
  <c r="J58" i="2"/>
  <c r="M58" i="2"/>
  <c r="N58" i="2" s="1"/>
  <c r="R58" i="2"/>
  <c r="T58" i="2" s="1"/>
  <c r="S58" i="2"/>
  <c r="V58" i="2"/>
  <c r="J59" i="2"/>
  <c r="M59" i="2"/>
  <c r="N59" i="2" s="1"/>
  <c r="R59" i="2"/>
  <c r="S59" i="2"/>
  <c r="V59" i="2"/>
  <c r="J60" i="2"/>
  <c r="M60" i="2"/>
  <c r="N60" i="2" s="1"/>
  <c r="R60" i="2"/>
  <c r="S60" i="2"/>
  <c r="V60" i="2"/>
  <c r="J61" i="2"/>
  <c r="M61" i="2"/>
  <c r="N61" i="2" s="1"/>
  <c r="R61" i="2"/>
  <c r="S61" i="2"/>
  <c r="V61" i="2"/>
  <c r="J62" i="2"/>
  <c r="M62" i="2"/>
  <c r="N62" i="2" s="1"/>
  <c r="R62" i="2"/>
  <c r="S62" i="2"/>
  <c r="V62" i="2"/>
  <c r="J63" i="2"/>
  <c r="M63" i="2"/>
  <c r="N63" i="2" s="1"/>
  <c r="R63" i="2"/>
  <c r="S63" i="2"/>
  <c r="V63" i="2"/>
  <c r="J64" i="2"/>
  <c r="M64" i="2"/>
  <c r="N64" i="2" s="1"/>
  <c r="R64" i="2"/>
  <c r="S64" i="2"/>
  <c r="V64" i="2"/>
  <c r="J65" i="2"/>
  <c r="M65" i="2"/>
  <c r="N65" i="2" s="1"/>
  <c r="R65" i="2"/>
  <c r="S65" i="2"/>
  <c r="V65" i="2"/>
  <c r="J66" i="2"/>
  <c r="M66" i="2"/>
  <c r="N66" i="2" s="1"/>
  <c r="R66" i="2"/>
  <c r="S66" i="2"/>
  <c r="V66" i="2"/>
  <c r="J67" i="2"/>
  <c r="M67" i="2"/>
  <c r="N67" i="2" s="1"/>
  <c r="R67" i="2"/>
  <c r="S67" i="2"/>
  <c r="V67" i="2"/>
  <c r="J68" i="2"/>
  <c r="M68" i="2"/>
  <c r="N68" i="2" s="1"/>
  <c r="R68" i="2"/>
  <c r="S68" i="2"/>
  <c r="V68" i="2"/>
  <c r="J69" i="2"/>
  <c r="M69" i="2"/>
  <c r="N69" i="2" s="1"/>
  <c r="R69" i="2"/>
  <c r="S69" i="2"/>
  <c r="V69" i="2"/>
  <c r="J70" i="2"/>
  <c r="M70" i="2"/>
  <c r="N70" i="2" s="1"/>
  <c r="R70" i="2"/>
  <c r="S70" i="2"/>
  <c r="V70" i="2"/>
  <c r="J71" i="2"/>
  <c r="M71" i="2"/>
  <c r="N71" i="2" s="1"/>
  <c r="R71" i="2"/>
  <c r="S71" i="2"/>
  <c r="V71" i="2"/>
  <c r="J72" i="2"/>
  <c r="M72" i="2"/>
  <c r="N72" i="2" s="1"/>
  <c r="R72" i="2"/>
  <c r="S72" i="2"/>
  <c r="V72" i="2"/>
  <c r="J73" i="2"/>
  <c r="M73" i="2"/>
  <c r="N73" i="2" s="1"/>
  <c r="R73" i="2"/>
  <c r="S73" i="2"/>
  <c r="V73" i="2"/>
  <c r="J74" i="2"/>
  <c r="M74" i="2"/>
  <c r="N74" i="2" s="1"/>
  <c r="R74" i="2"/>
  <c r="S74" i="2"/>
  <c r="V74" i="2"/>
  <c r="J75" i="2"/>
  <c r="M75" i="2"/>
  <c r="N75" i="2" s="1"/>
  <c r="R75" i="2"/>
  <c r="S75" i="2"/>
  <c r="V75" i="2"/>
  <c r="J76" i="2"/>
  <c r="M76" i="2"/>
  <c r="N76" i="2" s="1"/>
  <c r="R76" i="2"/>
  <c r="S76" i="2"/>
  <c r="V76" i="2"/>
  <c r="J77" i="2"/>
  <c r="M77" i="2"/>
  <c r="N77" i="2"/>
  <c r="R77" i="2"/>
  <c r="S77" i="2"/>
  <c r="V77" i="2"/>
  <c r="J78" i="2"/>
  <c r="M78" i="2"/>
  <c r="N78" i="2" s="1"/>
  <c r="R78" i="2"/>
  <c r="S78" i="2"/>
  <c r="V78" i="2"/>
  <c r="J79" i="2"/>
  <c r="M79" i="2"/>
  <c r="N79" i="2" s="1"/>
  <c r="R79" i="2"/>
  <c r="S79" i="2"/>
  <c r="V79" i="2"/>
  <c r="J80" i="2"/>
  <c r="M80" i="2"/>
  <c r="N80" i="2" s="1"/>
  <c r="R80" i="2"/>
  <c r="S80" i="2"/>
  <c r="V80" i="2"/>
  <c r="J81" i="2"/>
  <c r="M81" i="2"/>
  <c r="N81" i="2" s="1"/>
  <c r="R81" i="2"/>
  <c r="S81" i="2"/>
  <c r="V81" i="2"/>
  <c r="J82" i="2"/>
  <c r="M82" i="2"/>
  <c r="N82" i="2" s="1"/>
  <c r="R82" i="2"/>
  <c r="S82" i="2"/>
  <c r="T82" i="2" s="1"/>
  <c r="V82" i="2"/>
  <c r="J83" i="2"/>
  <c r="M83" i="2"/>
  <c r="N83" i="2" s="1"/>
  <c r="R83" i="2"/>
  <c r="S83" i="2"/>
  <c r="V83" i="2"/>
  <c r="J84" i="2"/>
  <c r="M84" i="2"/>
  <c r="N84" i="2" s="1"/>
  <c r="R84" i="2"/>
  <c r="S84" i="2"/>
  <c r="V84" i="2"/>
  <c r="J85" i="2"/>
  <c r="M85" i="2"/>
  <c r="N85" i="2" s="1"/>
  <c r="R85" i="2"/>
  <c r="S85" i="2"/>
  <c r="V85" i="2"/>
  <c r="J86" i="2"/>
  <c r="M86" i="2"/>
  <c r="N86" i="2" s="1"/>
  <c r="R86" i="2"/>
  <c r="S86" i="2"/>
  <c r="V86" i="2"/>
  <c r="J87" i="2"/>
  <c r="M87" i="2"/>
  <c r="N87" i="2" s="1"/>
  <c r="R87" i="2"/>
  <c r="S87" i="2"/>
  <c r="V87" i="2"/>
  <c r="J88" i="2"/>
  <c r="M88" i="2"/>
  <c r="N88" i="2" s="1"/>
  <c r="R88" i="2"/>
  <c r="S88" i="2"/>
  <c r="V88" i="2"/>
  <c r="J89" i="2"/>
  <c r="M89" i="2"/>
  <c r="N89" i="2" s="1"/>
  <c r="R89" i="2"/>
  <c r="S89" i="2"/>
  <c r="V89" i="2"/>
  <c r="J90" i="2"/>
  <c r="M90" i="2"/>
  <c r="N90" i="2" s="1"/>
  <c r="R90" i="2"/>
  <c r="S90" i="2"/>
  <c r="V90" i="2"/>
  <c r="J91" i="2"/>
  <c r="M91" i="2"/>
  <c r="N91" i="2" s="1"/>
  <c r="R91" i="2"/>
  <c r="S91" i="2"/>
  <c r="V91" i="2"/>
  <c r="J92" i="2"/>
  <c r="M92" i="2"/>
  <c r="N92" i="2" s="1"/>
  <c r="R92" i="2"/>
  <c r="S92" i="2"/>
  <c r="V92" i="2"/>
  <c r="J93" i="2"/>
  <c r="M93" i="2"/>
  <c r="N93" i="2" s="1"/>
  <c r="R93" i="2"/>
  <c r="S93" i="2"/>
  <c r="V93" i="2"/>
  <c r="J94" i="2"/>
  <c r="M94" i="2"/>
  <c r="N94" i="2" s="1"/>
  <c r="R94" i="2"/>
  <c r="S94" i="2"/>
  <c r="V94" i="2"/>
  <c r="J95" i="2"/>
  <c r="M95" i="2"/>
  <c r="N95" i="2" s="1"/>
  <c r="R95" i="2"/>
  <c r="S95" i="2"/>
  <c r="V95" i="2"/>
  <c r="J96" i="2"/>
  <c r="M96" i="2"/>
  <c r="N96" i="2" s="1"/>
  <c r="R96" i="2"/>
  <c r="S96" i="2"/>
  <c r="V96" i="2"/>
  <c r="J97" i="2"/>
  <c r="M97" i="2"/>
  <c r="N97" i="2" s="1"/>
  <c r="R97" i="2"/>
  <c r="S97" i="2"/>
  <c r="V97" i="2"/>
  <c r="J98" i="2"/>
  <c r="M98" i="2"/>
  <c r="N98" i="2" s="1"/>
  <c r="R98" i="2"/>
  <c r="S98" i="2"/>
  <c r="T98" i="2" s="1"/>
  <c r="V98" i="2"/>
  <c r="J99" i="2"/>
  <c r="M99" i="2"/>
  <c r="N99" i="2" s="1"/>
  <c r="R99" i="2"/>
  <c r="S99" i="2"/>
  <c r="V99" i="2"/>
  <c r="J100" i="2"/>
  <c r="M100" i="2"/>
  <c r="N100" i="2" s="1"/>
  <c r="R100" i="2"/>
  <c r="S100" i="2"/>
  <c r="V100" i="2"/>
  <c r="J101" i="2"/>
  <c r="M101" i="2"/>
  <c r="N101" i="2" s="1"/>
  <c r="R101" i="2"/>
  <c r="S101" i="2"/>
  <c r="V101" i="2"/>
  <c r="T69" i="2"/>
  <c r="T55" i="2"/>
  <c r="G46" i="2"/>
  <c r="G103" i="2"/>
  <c r="G105" i="2"/>
  <c r="H105" i="2"/>
  <c r="I105" i="2" s="1"/>
  <c r="J105" i="2"/>
  <c r="M105" i="2"/>
  <c r="N105" i="2"/>
  <c r="R105" i="2"/>
  <c r="S105" i="2"/>
  <c r="V105" i="2"/>
  <c r="W105" i="2"/>
  <c r="G106" i="2"/>
  <c r="H106" i="2"/>
  <c r="I106" i="2" s="1"/>
  <c r="J106" i="2"/>
  <c r="M106" i="2"/>
  <c r="N106" i="2"/>
  <c r="R106" i="2"/>
  <c r="S106" i="2"/>
  <c r="V106" i="2"/>
  <c r="W106" i="2"/>
  <c r="G107" i="2"/>
  <c r="H107" i="2"/>
  <c r="I107" i="2" s="1"/>
  <c r="J107" i="2"/>
  <c r="M107" i="2"/>
  <c r="N107" i="2"/>
  <c r="R107" i="2"/>
  <c r="S107" i="2"/>
  <c r="V107" i="2"/>
  <c r="W107" i="2"/>
  <c r="G108" i="2"/>
  <c r="H108" i="2"/>
  <c r="I108" i="2" s="1"/>
  <c r="J108" i="2"/>
  <c r="M108" i="2"/>
  <c r="N108" i="2"/>
  <c r="R108" i="2"/>
  <c r="S108" i="2"/>
  <c r="V108" i="2"/>
  <c r="W108" i="2"/>
  <c r="G109" i="2"/>
  <c r="H109" i="2"/>
  <c r="I109" i="2" s="1"/>
  <c r="J109" i="2"/>
  <c r="M109" i="2"/>
  <c r="N109" i="2"/>
  <c r="R109" i="2"/>
  <c r="S109" i="2"/>
  <c r="V109" i="2"/>
  <c r="W109" i="2"/>
  <c r="G110" i="2"/>
  <c r="H110" i="2"/>
  <c r="I110" i="2" s="1"/>
  <c r="J110" i="2"/>
  <c r="M110" i="2"/>
  <c r="N110" i="2"/>
  <c r="R110" i="2"/>
  <c r="S110" i="2"/>
  <c r="V110" i="2"/>
  <c r="W110" i="2"/>
  <c r="G111" i="2"/>
  <c r="H111" i="2"/>
  <c r="I111" i="2" s="1"/>
  <c r="J111" i="2"/>
  <c r="M111" i="2"/>
  <c r="N111" i="2"/>
  <c r="R111" i="2"/>
  <c r="S111" i="2"/>
  <c r="V111" i="2"/>
  <c r="W111" i="2"/>
  <c r="V51" i="2"/>
  <c r="V52" i="2"/>
  <c r="V53" i="2"/>
  <c r="V54" i="2"/>
  <c r="V102" i="2"/>
  <c r="G7" i="2"/>
  <c r="J102" i="2"/>
  <c r="M102" i="2"/>
  <c r="N102" i="2" s="1"/>
  <c r="J51" i="2"/>
  <c r="J52" i="2"/>
  <c r="J53" i="2"/>
  <c r="J54" i="2"/>
  <c r="S51" i="2"/>
  <c r="S52" i="2"/>
  <c r="S53" i="2"/>
  <c r="S54" i="2"/>
  <c r="S102" i="2"/>
  <c r="R102" i="2"/>
  <c r="R51" i="2"/>
  <c r="R52" i="2"/>
  <c r="T52" i="2" s="1"/>
  <c r="R53" i="2"/>
  <c r="T53" i="2" s="1"/>
  <c r="R54" i="2"/>
  <c r="M51" i="2"/>
  <c r="N51" i="2" s="1"/>
  <c r="M52" i="2"/>
  <c r="N52" i="2"/>
  <c r="M53" i="2"/>
  <c r="N53" i="2" s="1"/>
  <c r="M54" i="2"/>
  <c r="N54" i="2" s="1"/>
  <c r="G9" i="2"/>
  <c r="Y7" i="2"/>
  <c r="Z7" i="2" s="1"/>
  <c r="W7" i="2"/>
  <c r="X7" i="2" s="1"/>
  <c r="B17" i="2"/>
  <c r="U20" i="2"/>
  <c r="X17" i="2"/>
  <c r="J16" i="5"/>
  <c r="G47" i="2"/>
  <c r="E12" i="5"/>
  <c r="E8" i="5"/>
  <c r="Q3" i="2"/>
  <c r="W13" i="2"/>
  <c r="X13" i="2" s="1"/>
  <c r="O137" i="2" l="1"/>
  <c r="O136" i="2"/>
  <c r="O134" i="2"/>
  <c r="P120" i="2"/>
  <c r="P117" i="2"/>
  <c r="Y118" i="2"/>
  <c r="Y119" i="2"/>
  <c r="Y117" i="2"/>
  <c r="F50" i="2"/>
  <c r="Q50" i="2" s="1"/>
  <c r="G50" i="2" s="1"/>
  <c r="F49" i="2"/>
  <c r="F48" i="2"/>
  <c r="Q48" i="2" s="1"/>
  <c r="G48" i="2" s="1"/>
  <c r="F43" i="2"/>
  <c r="Q49" i="2"/>
  <c r="G49" i="2" s="1"/>
  <c r="AB134" i="2"/>
  <c r="AB138" i="2"/>
  <c r="AB136" i="2"/>
  <c r="AC136" i="2"/>
  <c r="AH136" i="2" s="1"/>
  <c r="AB137" i="2"/>
  <c r="P118" i="2"/>
  <c r="P119" i="2"/>
  <c r="AH135" i="2"/>
  <c r="F135" i="2" s="1"/>
  <c r="Q135" i="2" s="1"/>
  <c r="AB135" i="2"/>
  <c r="AH137" i="2"/>
  <c r="F137" i="2" s="1"/>
  <c r="Q137" i="2" s="1"/>
  <c r="G137" i="2" s="1"/>
  <c r="AC134" i="2"/>
  <c r="AH134" i="2" s="1"/>
  <c r="F134" i="2" s="1"/>
  <c r="Q134" i="2" s="1"/>
  <c r="AC139" i="2"/>
  <c r="AH139" i="2" s="1"/>
  <c r="AC138" i="2"/>
  <c r="AH138" i="2" s="1"/>
  <c r="T108" i="2"/>
  <c r="T78" i="2"/>
  <c r="T71" i="2"/>
  <c r="T57" i="2"/>
  <c r="T66" i="2"/>
  <c r="T80" i="2"/>
  <c r="T89" i="2"/>
  <c r="T83" i="2"/>
  <c r="O133" i="2"/>
  <c r="T73" i="2"/>
  <c r="T111" i="2"/>
  <c r="T84" i="2"/>
  <c r="AB147" i="2"/>
  <c r="AG147" i="2" s="1"/>
  <c r="T72" i="2"/>
  <c r="AB133" i="2"/>
  <c r="AG133" i="2"/>
  <c r="AH133" i="2" s="1"/>
  <c r="T90" i="2"/>
  <c r="T76" i="2"/>
  <c r="F19" i="2"/>
  <c r="F18" i="2"/>
  <c r="T62" i="2"/>
  <c r="F17" i="2"/>
  <c r="W14" i="2"/>
  <c r="X14" i="2" s="1"/>
  <c r="W11" i="2"/>
  <c r="X11" i="2" s="1"/>
  <c r="W12" i="2"/>
  <c r="X12" i="2" s="1"/>
  <c r="T100" i="2"/>
  <c r="T91" i="2"/>
  <c r="T61" i="2"/>
  <c r="N13" i="2"/>
  <c r="Q13" i="2" s="1"/>
  <c r="Y13" i="2"/>
  <c r="Z13" i="2" s="1"/>
  <c r="T110" i="2"/>
  <c r="T106" i="2"/>
  <c r="T86" i="2"/>
  <c r="T79" i="2"/>
  <c r="T65" i="2"/>
  <c r="T63" i="2"/>
  <c r="AA144" i="2"/>
  <c r="N16" i="2"/>
  <c r="Q16" i="2" s="1"/>
  <c r="N12" i="2"/>
  <c r="Q12" i="2" s="1"/>
  <c r="T96" i="2"/>
  <c r="T87" i="2"/>
  <c r="T85" i="2"/>
  <c r="N8" i="2"/>
  <c r="Q8" i="2" s="1"/>
  <c r="N17" i="2"/>
  <c r="Q17" i="2" s="1"/>
  <c r="T102" i="2"/>
  <c r="T75" i="2"/>
  <c r="T68" i="2"/>
  <c r="T59" i="2"/>
  <c r="AB145" i="2"/>
  <c r="AG145" i="2" s="1"/>
  <c r="F145" i="2" s="1"/>
  <c r="T51" i="2"/>
  <c r="T88" i="2"/>
  <c r="E133" i="2"/>
  <c r="T92" i="2"/>
  <c r="T67" i="2"/>
  <c r="T105" i="2"/>
  <c r="T74" i="2"/>
  <c r="T54" i="2"/>
  <c r="T101" i="2"/>
  <c r="T99" i="2"/>
  <c r="T97" i="2"/>
  <c r="T95" i="2"/>
  <c r="T93" i="2"/>
  <c r="AB146" i="2"/>
  <c r="AG146" i="2" s="1"/>
  <c r="O2" i="2"/>
  <c r="N2" i="2"/>
  <c r="T107" i="2"/>
  <c r="T60" i="2"/>
  <c r="N9" i="2"/>
  <c r="Q9" i="2" s="1"/>
  <c r="Q143" i="2"/>
  <c r="T77" i="2"/>
  <c r="T64" i="2"/>
  <c r="F51" i="2"/>
  <c r="Q51" i="2" s="1"/>
  <c r="T81" i="2"/>
  <c r="T109" i="2"/>
  <c r="T94" i="2"/>
  <c r="T70" i="2"/>
  <c r="P15" i="2"/>
  <c r="J26" i="2"/>
  <c r="Q6" i="2"/>
  <c r="R6" i="2" s="1"/>
  <c r="G8" i="2" s="1"/>
  <c r="O19" i="2"/>
  <c r="J27" i="2"/>
  <c r="N19" i="2"/>
  <c r="N10" i="2"/>
  <c r="N14" i="2"/>
  <c r="O10" i="2"/>
  <c r="Z15" i="2"/>
  <c r="O14" i="2"/>
  <c r="P11" i="2"/>
  <c r="F131" i="2"/>
  <c r="G131" i="2" s="1"/>
  <c r="AA143" i="2"/>
  <c r="F44" i="2"/>
  <c r="G44" i="2" s="1"/>
  <c r="A19" i="2"/>
  <c r="I146" i="2" s="1"/>
  <c r="B18" i="2"/>
  <c r="M144" i="2"/>
  <c r="V113" i="2"/>
  <c r="O26" i="2"/>
  <c r="O30" i="2"/>
  <c r="O29" i="2"/>
  <c r="E29" i="2" s="1"/>
  <c r="O27" i="2"/>
  <c r="Y116" i="2"/>
  <c r="O31" i="2"/>
  <c r="O18" i="2"/>
  <c r="P18" i="2"/>
  <c r="N18" i="2"/>
  <c r="O3" i="2"/>
  <c r="R3" i="2"/>
  <c r="M3" i="2"/>
  <c r="N3" i="2"/>
  <c r="P3" i="2"/>
  <c r="P116" i="2"/>
  <c r="L2" i="2"/>
  <c r="P2" i="2"/>
  <c r="M2" i="2"/>
  <c r="N15" i="2"/>
  <c r="N11" i="2"/>
  <c r="G136" i="2" l="1"/>
  <c r="G135" i="2"/>
  <c r="G134" i="2"/>
  <c r="F136" i="2"/>
  <c r="Q136" i="2" s="1"/>
  <c r="X15" i="2"/>
  <c r="I144" i="2"/>
  <c r="L144" i="2"/>
  <c r="Q15" i="2"/>
  <c r="F133" i="2"/>
  <c r="Q133" i="2" s="1"/>
  <c r="G133" i="2" s="1"/>
  <c r="K144" i="2"/>
  <c r="F117" i="2"/>
  <c r="E31" i="2"/>
  <c r="J31" i="2" s="1"/>
  <c r="F3" i="2"/>
  <c r="U2" i="2" s="1"/>
  <c r="Q145" i="2"/>
  <c r="G145" i="2" s="1"/>
  <c r="G51" i="2"/>
  <c r="F45" i="2"/>
  <c r="G45" i="2" s="1"/>
  <c r="B19" i="2"/>
  <c r="F27" i="2"/>
  <c r="F116" i="2"/>
  <c r="N144" i="2"/>
  <c r="J29" i="2"/>
  <c r="Q144" i="2"/>
  <c r="G144" i="2" s="1"/>
  <c r="F118" i="2"/>
  <c r="A20" i="2"/>
  <c r="G143" i="2"/>
  <c r="F119" i="2"/>
  <c r="Q10" i="2"/>
  <c r="Q19" i="2"/>
  <c r="M143" i="2"/>
  <c r="N143" i="2"/>
  <c r="Q14" i="2"/>
  <c r="Q11" i="2"/>
  <c r="Q2" i="2"/>
  <c r="Q4" i="2" s="1"/>
  <c r="F120" i="2"/>
  <c r="F130" i="2"/>
  <c r="G130" i="2" s="1"/>
  <c r="F128" i="2"/>
  <c r="G128" i="2" s="1"/>
  <c r="F4" i="2"/>
  <c r="G4" i="2" s="1"/>
  <c r="I145" i="2"/>
  <c r="K145" i="2"/>
  <c r="L145" i="2"/>
  <c r="K146" i="2"/>
  <c r="L146" i="2"/>
  <c r="Q18" i="2"/>
  <c r="F33" i="2"/>
  <c r="R2" i="2"/>
  <c r="F127" i="2" l="1"/>
  <c r="F129" i="2"/>
  <c r="G129" i="2" s="1"/>
  <c r="AA118" i="2"/>
  <c r="G118" i="2" s="1"/>
  <c r="AA117" i="2"/>
  <c r="G117" i="2" s="1"/>
  <c r="AA120" i="2"/>
  <c r="G120" i="2" s="1"/>
  <c r="AA119" i="2"/>
  <c r="G119" i="2" s="1"/>
  <c r="M145" i="2"/>
  <c r="L147" i="2"/>
  <c r="O144" i="2"/>
  <c r="G23" i="2"/>
  <c r="N145" i="2"/>
  <c r="A21" i="2"/>
  <c r="B21" i="2" s="1"/>
  <c r="F42" i="2"/>
  <c r="F113" i="2"/>
  <c r="G113" i="2" s="1"/>
  <c r="Q27" i="2"/>
  <c r="G27" i="2" s="1"/>
  <c r="AA116" i="2"/>
  <c r="G116" i="2" s="1"/>
  <c r="B20" i="2"/>
  <c r="O143" i="2"/>
  <c r="F23" i="2"/>
  <c r="Q20" i="2"/>
  <c r="V20" i="2" s="1"/>
  <c r="R12" i="2" s="1"/>
  <c r="Q26" i="2"/>
  <c r="G26" i="2" s="1"/>
  <c r="N146" i="2"/>
  <c r="M146" i="2"/>
  <c r="Q146" i="2"/>
  <c r="G146" i="2" s="1"/>
  <c r="R4" i="2"/>
  <c r="G43" i="2"/>
  <c r="O145" i="2" l="1"/>
  <c r="F126" i="2"/>
  <c r="I147" i="2"/>
  <c r="K147" i="2"/>
  <c r="O146" i="2"/>
  <c r="F14" i="2"/>
  <c r="Q147" i="2"/>
  <c r="R8" i="2"/>
  <c r="R20" i="2" s="1"/>
  <c r="W20" i="2" s="1"/>
  <c r="G14" i="2" s="1"/>
  <c r="M147" i="2"/>
  <c r="N147" i="2"/>
  <c r="G147" i="2" l="1"/>
  <c r="F2" i="2"/>
  <c r="U3" i="2" s="1"/>
  <c r="U4" i="2" s="1"/>
  <c r="G3" i="2" s="1"/>
  <c r="O147" i="2"/>
  <c r="S3" i="2" l="1"/>
  <c r="Y4" i="2"/>
  <c r="S2" i="2"/>
  <c r="S4" i="2" l="1"/>
  <c r="G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author>
  </authors>
  <commentList>
    <comment ref="B3" authorId="0" shapeId="0" xr:uid="{00000000-0006-0000-0000-000001000000}">
      <text>
        <r>
          <rPr>
            <b/>
            <sz val="8"/>
            <color indexed="81"/>
            <rFont val="Tahoma"/>
            <family val="2"/>
          </rPr>
          <t>pick list cell 
Click once in the cell to see the 
pick list arrow (lower 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Tracy Parsons</author>
    <author>Tracy</author>
  </authors>
  <commentList>
    <comment ref="E5" authorId="0" shapeId="0" xr:uid="{00000000-0006-0000-0100-000001000000}">
      <text>
        <r>
          <rPr>
            <b/>
            <sz val="8"/>
            <color indexed="81"/>
            <rFont val="Tahoma"/>
            <family val="2"/>
          </rPr>
          <t>Pick List - click in the cell to see selection triangle (lower R corner)</t>
        </r>
      </text>
    </comment>
    <comment ref="E6" authorId="0" shapeId="0" xr:uid="{00000000-0006-0000-0100-000002000000}">
      <text>
        <r>
          <rPr>
            <b/>
            <sz val="8"/>
            <color indexed="81"/>
            <rFont val="Tahoma"/>
            <family val="2"/>
          </rPr>
          <t>Pick List - click in the cell to see selection triangle (lower R corner)</t>
        </r>
      </text>
    </comment>
    <comment ref="E7" authorId="1" shapeId="0" xr:uid="{00000000-0006-0000-0100-000003000000}">
      <text>
        <r>
          <rPr>
            <b/>
            <sz val="8"/>
            <color indexed="81"/>
            <rFont val="Tahoma"/>
            <family val="2"/>
          </rPr>
          <t>pick list</t>
        </r>
      </text>
    </comment>
    <comment ref="C8" authorId="1" shapeId="0" xr:uid="{00000000-0006-0000-0100-000004000000}">
      <text>
        <r>
          <rPr>
            <b/>
            <sz val="8"/>
            <color indexed="81"/>
            <rFont val="Tahoma"/>
            <family val="2"/>
          </rPr>
          <t>This is your certificate number, not your Login In PIN (aka ID#)</t>
        </r>
      </text>
    </comment>
    <comment ref="E8" authorId="0" shapeId="0" xr:uid="{00000000-0006-0000-0100-000005000000}">
      <text>
        <r>
          <rPr>
            <b/>
            <sz val="8"/>
            <color indexed="81"/>
            <rFont val="Tahoma"/>
            <family val="2"/>
          </rPr>
          <t>Pick List</t>
        </r>
      </text>
    </comment>
    <comment ref="E9" authorId="0" shapeId="0" xr:uid="{00000000-0006-0000-0100-000006000000}">
      <text>
        <r>
          <rPr>
            <b/>
            <sz val="8"/>
            <color indexed="81"/>
            <rFont val="Tahoma"/>
            <family val="2"/>
          </rPr>
          <t>Pick List</t>
        </r>
      </text>
    </comment>
    <comment ref="E10" authorId="0" shapeId="0" xr:uid="{00000000-0006-0000-0100-000007000000}">
      <text>
        <r>
          <rPr>
            <b/>
            <sz val="9"/>
            <color indexed="81"/>
            <rFont val="Tahoma"/>
            <family val="2"/>
          </rPr>
          <t xml:space="preserve">Pick List
</t>
        </r>
      </text>
    </comment>
    <comment ref="C16" authorId="0" shapeId="0" xr:uid="{00000000-0006-0000-0100-000008000000}">
      <text>
        <r>
          <rPr>
            <b/>
            <sz val="7"/>
            <color indexed="81"/>
            <rFont val="Tahoma"/>
            <family val="2"/>
          </rPr>
          <t xml:space="preserve">If you had multiple employers and/or job positions during the time period, enter all in one cell. See the Cat 1 Pt Calc for help in calculating % IH practice during the time period. </t>
        </r>
      </text>
    </comment>
    <comment ref="D26" authorId="0" shapeId="0" xr:uid="{00000000-0006-0000-0100-000009000000}">
      <text>
        <r>
          <rPr>
            <b/>
            <sz val="9"/>
            <color indexed="81"/>
            <rFont val="Tahoma"/>
            <family val="2"/>
          </rPr>
          <t xml:space="preserve">Pick List
</t>
        </r>
      </text>
    </comment>
    <comment ref="D27" authorId="0" shapeId="0" xr:uid="{00000000-0006-0000-0100-00000A000000}">
      <text>
        <r>
          <rPr>
            <b/>
            <sz val="9"/>
            <color indexed="81"/>
            <rFont val="Tahoma"/>
            <family val="2"/>
          </rPr>
          <t xml:space="preserve">Pick List
</t>
        </r>
      </text>
    </comment>
    <comment ref="D28" authorId="0" shapeId="0" xr:uid="{00000000-0006-0000-0100-00000B000000}">
      <text>
        <r>
          <rPr>
            <b/>
            <sz val="9"/>
            <color indexed="81"/>
            <rFont val="Tahoma"/>
            <family val="2"/>
          </rPr>
          <t xml:space="preserve">Pick List
</t>
        </r>
      </text>
    </comment>
    <comment ref="D29" authorId="0" shapeId="0" xr:uid="{00000000-0006-0000-0100-00000C000000}">
      <text>
        <r>
          <rPr>
            <b/>
            <sz val="9"/>
            <color indexed="81"/>
            <rFont val="Tahoma"/>
            <family val="2"/>
          </rPr>
          <t xml:space="preserve">Pick List
</t>
        </r>
      </text>
    </comment>
    <comment ref="D30" authorId="0" shapeId="0" xr:uid="{00000000-0006-0000-0100-00000D000000}">
      <text>
        <r>
          <rPr>
            <b/>
            <sz val="9"/>
            <color indexed="81"/>
            <rFont val="Tahoma"/>
            <family val="2"/>
          </rPr>
          <t xml:space="preserve">Pick List
</t>
        </r>
      </text>
    </comment>
    <comment ref="D31" authorId="0" shapeId="0" xr:uid="{00000000-0006-0000-0100-00000E000000}">
      <text>
        <r>
          <rPr>
            <b/>
            <sz val="9"/>
            <color indexed="81"/>
            <rFont val="Tahoma"/>
            <family val="2"/>
          </rPr>
          <t xml:space="preserve">Pick List
</t>
        </r>
      </text>
    </comment>
    <comment ref="D36" authorId="0" shapeId="0" xr:uid="{00000000-0006-0000-0100-00000F000000}">
      <text>
        <r>
          <rPr>
            <b/>
            <sz val="9"/>
            <color indexed="81"/>
            <rFont val="Tahoma"/>
            <family val="2"/>
          </rPr>
          <t>Pick List</t>
        </r>
      </text>
    </comment>
    <comment ref="E36" authorId="0" shapeId="0" xr:uid="{00000000-0006-0000-0100-000010000000}">
      <text>
        <r>
          <rPr>
            <b/>
            <sz val="8"/>
            <color indexed="81"/>
            <rFont val="Tahoma"/>
            <family val="2"/>
          </rPr>
          <t>Pick List</t>
        </r>
      </text>
    </comment>
    <comment ref="D37" authorId="0" shapeId="0" xr:uid="{00000000-0006-0000-0100-000011000000}">
      <text>
        <r>
          <rPr>
            <b/>
            <sz val="9"/>
            <color indexed="81"/>
            <rFont val="Tahoma"/>
            <family val="2"/>
          </rPr>
          <t>Pick List</t>
        </r>
      </text>
    </comment>
    <comment ref="E37" authorId="0" shapeId="0" xr:uid="{00000000-0006-0000-0100-000012000000}">
      <text>
        <r>
          <rPr>
            <b/>
            <sz val="8"/>
            <color indexed="81"/>
            <rFont val="Tahoma"/>
            <family val="2"/>
          </rPr>
          <t>Pick List</t>
        </r>
      </text>
    </comment>
    <comment ref="D38" authorId="0" shapeId="0" xr:uid="{00000000-0006-0000-0100-000013000000}">
      <text>
        <r>
          <rPr>
            <b/>
            <sz val="9"/>
            <color indexed="81"/>
            <rFont val="Tahoma"/>
            <family val="2"/>
          </rPr>
          <t>Pick List</t>
        </r>
      </text>
    </comment>
    <comment ref="E38" authorId="0" shapeId="0" xr:uid="{00000000-0006-0000-0100-000014000000}">
      <text>
        <r>
          <rPr>
            <b/>
            <sz val="8"/>
            <color indexed="81"/>
            <rFont val="Tahoma"/>
            <family val="2"/>
          </rPr>
          <t>Pick List</t>
        </r>
      </text>
    </comment>
    <comment ref="D39" authorId="0" shapeId="0" xr:uid="{00000000-0006-0000-0100-000015000000}">
      <text>
        <r>
          <rPr>
            <b/>
            <sz val="9"/>
            <color indexed="81"/>
            <rFont val="Tahoma"/>
            <family val="2"/>
          </rPr>
          <t>Pick List</t>
        </r>
      </text>
    </comment>
    <comment ref="E39" authorId="0" shapeId="0" xr:uid="{00000000-0006-0000-0100-000016000000}">
      <text>
        <r>
          <rPr>
            <b/>
            <sz val="8"/>
            <color indexed="81"/>
            <rFont val="Tahoma"/>
            <family val="2"/>
          </rPr>
          <t>Pick List</t>
        </r>
      </text>
    </comment>
    <comment ref="D40" authorId="0" shapeId="0" xr:uid="{00000000-0006-0000-0100-000017000000}">
      <text>
        <r>
          <rPr>
            <b/>
            <sz val="9"/>
            <color indexed="81"/>
            <rFont val="Tahoma"/>
            <family val="2"/>
          </rPr>
          <t>Pick List</t>
        </r>
      </text>
    </comment>
    <comment ref="E40" authorId="0" shapeId="0" xr:uid="{00000000-0006-0000-0100-000018000000}">
      <text>
        <r>
          <rPr>
            <b/>
            <sz val="8"/>
            <color indexed="81"/>
            <rFont val="Tahoma"/>
            <family val="2"/>
          </rPr>
          <t>Pick List</t>
        </r>
      </text>
    </comment>
    <comment ref="E48" authorId="0" shapeId="0" xr:uid="{00000000-0006-0000-0100-000019000000}">
      <text>
        <r>
          <rPr>
            <b/>
            <sz val="9"/>
            <color indexed="81"/>
            <rFont val="Tahoma"/>
            <family val="2"/>
          </rPr>
          <t>Pick List</t>
        </r>
        <r>
          <rPr>
            <sz val="9"/>
            <color indexed="81"/>
            <rFont val="Tahoma"/>
            <family val="2"/>
          </rPr>
          <t xml:space="preserve">
</t>
        </r>
      </text>
    </comment>
    <comment ref="E49" authorId="0" shapeId="0" xr:uid="{00000000-0006-0000-0100-00001A000000}">
      <text>
        <r>
          <rPr>
            <b/>
            <sz val="9"/>
            <color indexed="81"/>
            <rFont val="Tahoma"/>
            <family val="2"/>
          </rPr>
          <t>Pick List</t>
        </r>
        <r>
          <rPr>
            <sz val="9"/>
            <color indexed="81"/>
            <rFont val="Tahoma"/>
            <family val="2"/>
          </rPr>
          <t xml:space="preserve">
</t>
        </r>
      </text>
    </comment>
    <comment ref="E50" authorId="0" shapeId="0" xr:uid="{00000000-0006-0000-0100-00001B000000}">
      <text>
        <r>
          <rPr>
            <b/>
            <sz val="9"/>
            <color indexed="81"/>
            <rFont val="Tahoma"/>
            <family val="2"/>
          </rPr>
          <t>Pick List</t>
        </r>
        <r>
          <rPr>
            <sz val="9"/>
            <color indexed="81"/>
            <rFont val="Tahoma"/>
            <family val="2"/>
          </rPr>
          <t xml:space="preserve">
</t>
        </r>
      </text>
    </comment>
    <comment ref="E51" authorId="0" shapeId="0" xr:uid="{00000000-0006-0000-0100-00001C000000}">
      <text>
        <r>
          <rPr>
            <b/>
            <sz val="9"/>
            <color indexed="81"/>
            <rFont val="Tahoma"/>
            <family val="2"/>
          </rPr>
          <t>Pick List</t>
        </r>
        <r>
          <rPr>
            <sz val="9"/>
            <color indexed="81"/>
            <rFont val="Tahoma"/>
            <family val="2"/>
          </rPr>
          <t xml:space="preserve">
</t>
        </r>
      </text>
    </comment>
    <comment ref="E52" authorId="0" shapeId="0" xr:uid="{00000000-0006-0000-0100-00001D000000}">
      <text>
        <r>
          <rPr>
            <b/>
            <sz val="9"/>
            <color indexed="81"/>
            <rFont val="Tahoma"/>
            <family val="2"/>
          </rPr>
          <t>Pick List</t>
        </r>
        <r>
          <rPr>
            <sz val="9"/>
            <color indexed="81"/>
            <rFont val="Tahoma"/>
            <family val="2"/>
          </rPr>
          <t xml:space="preserve">
</t>
        </r>
      </text>
    </comment>
    <comment ref="E53" authorId="0" shapeId="0" xr:uid="{00000000-0006-0000-0100-00001E000000}">
      <text>
        <r>
          <rPr>
            <b/>
            <sz val="9"/>
            <color indexed="81"/>
            <rFont val="Tahoma"/>
            <family val="2"/>
          </rPr>
          <t>Pick List</t>
        </r>
        <r>
          <rPr>
            <sz val="9"/>
            <color indexed="81"/>
            <rFont val="Tahoma"/>
            <family val="2"/>
          </rPr>
          <t xml:space="preserve">
</t>
        </r>
      </text>
    </comment>
    <comment ref="E54" authorId="0" shapeId="0" xr:uid="{00000000-0006-0000-0100-00001F000000}">
      <text>
        <r>
          <rPr>
            <b/>
            <sz val="9"/>
            <color indexed="81"/>
            <rFont val="Tahoma"/>
            <family val="2"/>
          </rPr>
          <t>Pick List</t>
        </r>
        <r>
          <rPr>
            <sz val="9"/>
            <color indexed="81"/>
            <rFont val="Tahoma"/>
            <family val="2"/>
          </rPr>
          <t xml:space="preserve">
</t>
        </r>
      </text>
    </comment>
    <comment ref="E55" authorId="0" shapeId="0" xr:uid="{00000000-0006-0000-0100-000020000000}">
      <text>
        <r>
          <rPr>
            <b/>
            <sz val="9"/>
            <color indexed="81"/>
            <rFont val="Tahoma"/>
            <family val="2"/>
          </rPr>
          <t>Pick List</t>
        </r>
        <r>
          <rPr>
            <sz val="9"/>
            <color indexed="81"/>
            <rFont val="Tahoma"/>
            <family val="2"/>
          </rPr>
          <t xml:space="preserve">
</t>
        </r>
      </text>
    </comment>
    <comment ref="E56" authorId="0" shapeId="0" xr:uid="{00000000-0006-0000-0100-000021000000}">
      <text>
        <r>
          <rPr>
            <b/>
            <sz val="9"/>
            <color indexed="81"/>
            <rFont val="Tahoma"/>
            <family val="2"/>
          </rPr>
          <t>Pick List</t>
        </r>
        <r>
          <rPr>
            <sz val="9"/>
            <color indexed="81"/>
            <rFont val="Tahoma"/>
            <family val="2"/>
          </rPr>
          <t xml:space="preserve">
</t>
        </r>
      </text>
    </comment>
    <comment ref="E57" authorId="0" shapeId="0" xr:uid="{00000000-0006-0000-0100-000022000000}">
      <text>
        <r>
          <rPr>
            <b/>
            <sz val="9"/>
            <color indexed="81"/>
            <rFont val="Tahoma"/>
            <family val="2"/>
          </rPr>
          <t>Pick List</t>
        </r>
        <r>
          <rPr>
            <sz val="9"/>
            <color indexed="81"/>
            <rFont val="Tahoma"/>
            <family val="2"/>
          </rPr>
          <t xml:space="preserve">
</t>
        </r>
      </text>
    </comment>
    <comment ref="E58" authorId="0" shapeId="0" xr:uid="{00000000-0006-0000-0100-000023000000}">
      <text>
        <r>
          <rPr>
            <b/>
            <sz val="9"/>
            <color indexed="81"/>
            <rFont val="Tahoma"/>
            <family val="2"/>
          </rPr>
          <t>Pick List</t>
        </r>
        <r>
          <rPr>
            <sz val="9"/>
            <color indexed="81"/>
            <rFont val="Tahoma"/>
            <family val="2"/>
          </rPr>
          <t xml:space="preserve">
</t>
        </r>
      </text>
    </comment>
    <comment ref="E59" authorId="0" shapeId="0" xr:uid="{00000000-0006-0000-0100-000024000000}">
      <text>
        <r>
          <rPr>
            <b/>
            <sz val="9"/>
            <color indexed="81"/>
            <rFont val="Tahoma"/>
            <family val="2"/>
          </rPr>
          <t>Pick List</t>
        </r>
        <r>
          <rPr>
            <sz val="9"/>
            <color indexed="81"/>
            <rFont val="Tahoma"/>
            <family val="2"/>
          </rPr>
          <t xml:space="preserve">
</t>
        </r>
      </text>
    </comment>
    <comment ref="E60" authorId="0" shapeId="0" xr:uid="{00000000-0006-0000-0100-000025000000}">
      <text>
        <r>
          <rPr>
            <b/>
            <sz val="9"/>
            <color indexed="81"/>
            <rFont val="Tahoma"/>
            <family val="2"/>
          </rPr>
          <t>Pick List</t>
        </r>
        <r>
          <rPr>
            <sz val="9"/>
            <color indexed="81"/>
            <rFont val="Tahoma"/>
            <family val="2"/>
          </rPr>
          <t xml:space="preserve">
</t>
        </r>
      </text>
    </comment>
    <comment ref="E61" authorId="0" shapeId="0" xr:uid="{00000000-0006-0000-0100-000026000000}">
      <text>
        <r>
          <rPr>
            <b/>
            <sz val="9"/>
            <color indexed="81"/>
            <rFont val="Tahoma"/>
            <family val="2"/>
          </rPr>
          <t>Pick List</t>
        </r>
        <r>
          <rPr>
            <sz val="9"/>
            <color indexed="81"/>
            <rFont val="Tahoma"/>
            <family val="2"/>
          </rPr>
          <t xml:space="preserve">
</t>
        </r>
      </text>
    </comment>
    <comment ref="E62" authorId="0" shapeId="0" xr:uid="{00000000-0006-0000-0100-000027000000}">
      <text>
        <r>
          <rPr>
            <b/>
            <sz val="9"/>
            <color indexed="81"/>
            <rFont val="Tahoma"/>
            <family val="2"/>
          </rPr>
          <t>Pick List</t>
        </r>
        <r>
          <rPr>
            <sz val="9"/>
            <color indexed="81"/>
            <rFont val="Tahoma"/>
            <family val="2"/>
          </rPr>
          <t xml:space="preserve">
</t>
        </r>
      </text>
    </comment>
    <comment ref="E63" authorId="0" shapeId="0" xr:uid="{00000000-0006-0000-0100-000028000000}">
      <text>
        <r>
          <rPr>
            <b/>
            <sz val="9"/>
            <color indexed="81"/>
            <rFont val="Tahoma"/>
            <family val="2"/>
          </rPr>
          <t>Pick List</t>
        </r>
        <r>
          <rPr>
            <sz val="9"/>
            <color indexed="81"/>
            <rFont val="Tahoma"/>
            <family val="2"/>
          </rPr>
          <t xml:space="preserve">
</t>
        </r>
      </text>
    </comment>
    <comment ref="E64" authorId="0" shapeId="0" xr:uid="{00000000-0006-0000-0100-000029000000}">
      <text>
        <r>
          <rPr>
            <b/>
            <sz val="9"/>
            <color indexed="81"/>
            <rFont val="Tahoma"/>
            <family val="2"/>
          </rPr>
          <t>Pick List</t>
        </r>
        <r>
          <rPr>
            <sz val="9"/>
            <color indexed="81"/>
            <rFont val="Tahoma"/>
            <family val="2"/>
          </rPr>
          <t xml:space="preserve">
</t>
        </r>
      </text>
    </comment>
    <comment ref="E65" authorId="0" shapeId="0" xr:uid="{00000000-0006-0000-0100-00002A000000}">
      <text>
        <r>
          <rPr>
            <b/>
            <sz val="9"/>
            <color indexed="81"/>
            <rFont val="Tahoma"/>
            <family val="2"/>
          </rPr>
          <t>Pick List</t>
        </r>
        <r>
          <rPr>
            <sz val="9"/>
            <color indexed="81"/>
            <rFont val="Tahoma"/>
            <family val="2"/>
          </rPr>
          <t xml:space="preserve">
</t>
        </r>
      </text>
    </comment>
    <comment ref="E66" authorId="0" shapeId="0" xr:uid="{00000000-0006-0000-0100-00002B000000}">
      <text>
        <r>
          <rPr>
            <b/>
            <sz val="9"/>
            <color indexed="81"/>
            <rFont val="Tahoma"/>
            <family val="2"/>
          </rPr>
          <t>Pick List</t>
        </r>
        <r>
          <rPr>
            <sz val="9"/>
            <color indexed="81"/>
            <rFont val="Tahoma"/>
            <family val="2"/>
          </rPr>
          <t xml:space="preserve">
</t>
        </r>
      </text>
    </comment>
    <comment ref="E67" authorId="0" shapeId="0" xr:uid="{00000000-0006-0000-0100-00002C000000}">
      <text>
        <r>
          <rPr>
            <b/>
            <sz val="9"/>
            <color indexed="81"/>
            <rFont val="Tahoma"/>
            <family val="2"/>
          </rPr>
          <t>Pick List</t>
        </r>
        <r>
          <rPr>
            <sz val="9"/>
            <color indexed="81"/>
            <rFont val="Tahoma"/>
            <family val="2"/>
          </rPr>
          <t xml:space="preserve">
</t>
        </r>
      </text>
    </comment>
    <comment ref="E68" authorId="0" shapeId="0" xr:uid="{00000000-0006-0000-0100-00002D000000}">
      <text>
        <r>
          <rPr>
            <b/>
            <sz val="9"/>
            <color indexed="81"/>
            <rFont val="Tahoma"/>
            <family val="2"/>
          </rPr>
          <t>Pick List</t>
        </r>
        <r>
          <rPr>
            <sz val="9"/>
            <color indexed="81"/>
            <rFont val="Tahoma"/>
            <family val="2"/>
          </rPr>
          <t xml:space="preserve">
</t>
        </r>
      </text>
    </comment>
    <comment ref="E69" authorId="0" shapeId="0" xr:uid="{00000000-0006-0000-0100-00002E000000}">
      <text>
        <r>
          <rPr>
            <b/>
            <sz val="9"/>
            <color indexed="81"/>
            <rFont val="Tahoma"/>
            <family val="2"/>
          </rPr>
          <t>Pick List</t>
        </r>
        <r>
          <rPr>
            <sz val="9"/>
            <color indexed="81"/>
            <rFont val="Tahoma"/>
            <family val="2"/>
          </rPr>
          <t xml:space="preserve">
</t>
        </r>
      </text>
    </comment>
    <comment ref="E70" authorId="0" shapeId="0" xr:uid="{00000000-0006-0000-0100-00002F000000}">
      <text>
        <r>
          <rPr>
            <b/>
            <sz val="9"/>
            <color indexed="81"/>
            <rFont val="Tahoma"/>
            <family val="2"/>
          </rPr>
          <t>Pick List</t>
        </r>
        <r>
          <rPr>
            <sz val="9"/>
            <color indexed="81"/>
            <rFont val="Tahoma"/>
            <family val="2"/>
          </rPr>
          <t xml:space="preserve">
</t>
        </r>
      </text>
    </comment>
    <comment ref="E71" authorId="0" shapeId="0" xr:uid="{00000000-0006-0000-0100-000030000000}">
      <text>
        <r>
          <rPr>
            <b/>
            <sz val="9"/>
            <color indexed="81"/>
            <rFont val="Tahoma"/>
            <family val="2"/>
          </rPr>
          <t>Pick List</t>
        </r>
        <r>
          <rPr>
            <sz val="9"/>
            <color indexed="81"/>
            <rFont val="Tahoma"/>
            <family val="2"/>
          </rPr>
          <t xml:space="preserve">
</t>
        </r>
      </text>
    </comment>
    <comment ref="E72" authorId="0" shapeId="0" xr:uid="{00000000-0006-0000-0100-000031000000}">
      <text>
        <r>
          <rPr>
            <b/>
            <sz val="9"/>
            <color indexed="81"/>
            <rFont val="Tahoma"/>
            <family val="2"/>
          </rPr>
          <t>Pick List</t>
        </r>
        <r>
          <rPr>
            <sz val="9"/>
            <color indexed="81"/>
            <rFont val="Tahoma"/>
            <family val="2"/>
          </rPr>
          <t xml:space="preserve">
</t>
        </r>
      </text>
    </comment>
    <comment ref="E73" authorId="0" shapeId="0" xr:uid="{00000000-0006-0000-0100-000032000000}">
      <text>
        <r>
          <rPr>
            <b/>
            <sz val="9"/>
            <color indexed="81"/>
            <rFont val="Tahoma"/>
            <family val="2"/>
          </rPr>
          <t>Pick List</t>
        </r>
        <r>
          <rPr>
            <sz val="9"/>
            <color indexed="81"/>
            <rFont val="Tahoma"/>
            <family val="2"/>
          </rPr>
          <t xml:space="preserve">
</t>
        </r>
      </text>
    </comment>
    <comment ref="E74" authorId="0" shapeId="0" xr:uid="{00000000-0006-0000-0100-000033000000}">
      <text>
        <r>
          <rPr>
            <b/>
            <sz val="9"/>
            <color indexed="81"/>
            <rFont val="Tahoma"/>
            <family val="2"/>
          </rPr>
          <t>Pick List</t>
        </r>
        <r>
          <rPr>
            <sz val="9"/>
            <color indexed="81"/>
            <rFont val="Tahoma"/>
            <family val="2"/>
          </rPr>
          <t xml:space="preserve">
</t>
        </r>
      </text>
    </comment>
    <comment ref="E75" authorId="0" shapeId="0" xr:uid="{00000000-0006-0000-0100-000034000000}">
      <text>
        <r>
          <rPr>
            <b/>
            <sz val="9"/>
            <color indexed="81"/>
            <rFont val="Tahoma"/>
            <family val="2"/>
          </rPr>
          <t>Pick List</t>
        </r>
        <r>
          <rPr>
            <sz val="9"/>
            <color indexed="81"/>
            <rFont val="Tahoma"/>
            <family val="2"/>
          </rPr>
          <t xml:space="preserve">
</t>
        </r>
      </text>
    </comment>
    <comment ref="E76" authorId="0" shapeId="0" xr:uid="{00000000-0006-0000-0100-000035000000}">
      <text>
        <r>
          <rPr>
            <b/>
            <sz val="9"/>
            <color indexed="81"/>
            <rFont val="Tahoma"/>
            <family val="2"/>
          </rPr>
          <t>Pick List</t>
        </r>
        <r>
          <rPr>
            <sz val="9"/>
            <color indexed="81"/>
            <rFont val="Tahoma"/>
            <family val="2"/>
          </rPr>
          <t xml:space="preserve">
</t>
        </r>
      </text>
    </comment>
    <comment ref="E77" authorId="0" shapeId="0" xr:uid="{00000000-0006-0000-0100-000036000000}">
      <text>
        <r>
          <rPr>
            <b/>
            <sz val="9"/>
            <color indexed="81"/>
            <rFont val="Tahoma"/>
            <family val="2"/>
          </rPr>
          <t>Pick List</t>
        </r>
        <r>
          <rPr>
            <sz val="9"/>
            <color indexed="81"/>
            <rFont val="Tahoma"/>
            <family val="2"/>
          </rPr>
          <t xml:space="preserve">
</t>
        </r>
      </text>
    </comment>
    <comment ref="E78" authorId="0" shapeId="0" xr:uid="{00000000-0006-0000-0100-000037000000}">
      <text>
        <r>
          <rPr>
            <b/>
            <sz val="9"/>
            <color indexed="81"/>
            <rFont val="Tahoma"/>
            <family val="2"/>
          </rPr>
          <t>Pick List</t>
        </r>
        <r>
          <rPr>
            <sz val="9"/>
            <color indexed="81"/>
            <rFont val="Tahoma"/>
            <family val="2"/>
          </rPr>
          <t xml:space="preserve">
</t>
        </r>
      </text>
    </comment>
    <comment ref="E79" authorId="0" shapeId="0" xr:uid="{00000000-0006-0000-0100-000038000000}">
      <text>
        <r>
          <rPr>
            <b/>
            <sz val="9"/>
            <color indexed="81"/>
            <rFont val="Tahoma"/>
            <family val="2"/>
          </rPr>
          <t>Pick List</t>
        </r>
        <r>
          <rPr>
            <sz val="9"/>
            <color indexed="81"/>
            <rFont val="Tahoma"/>
            <family val="2"/>
          </rPr>
          <t xml:space="preserve">
</t>
        </r>
      </text>
    </comment>
    <comment ref="E80" authorId="0" shapeId="0" xr:uid="{00000000-0006-0000-0100-000039000000}">
      <text>
        <r>
          <rPr>
            <b/>
            <sz val="9"/>
            <color indexed="81"/>
            <rFont val="Tahoma"/>
            <family val="2"/>
          </rPr>
          <t>Pick List</t>
        </r>
        <r>
          <rPr>
            <sz val="9"/>
            <color indexed="81"/>
            <rFont val="Tahoma"/>
            <family val="2"/>
          </rPr>
          <t xml:space="preserve">
</t>
        </r>
      </text>
    </comment>
    <comment ref="E81" authorId="0" shapeId="0" xr:uid="{00000000-0006-0000-0100-00003A000000}">
      <text>
        <r>
          <rPr>
            <b/>
            <sz val="9"/>
            <color indexed="81"/>
            <rFont val="Tahoma"/>
            <family val="2"/>
          </rPr>
          <t>Pick List</t>
        </r>
        <r>
          <rPr>
            <sz val="9"/>
            <color indexed="81"/>
            <rFont val="Tahoma"/>
            <family val="2"/>
          </rPr>
          <t xml:space="preserve">
</t>
        </r>
      </text>
    </comment>
    <comment ref="E82" authorId="0" shapeId="0" xr:uid="{00000000-0006-0000-0100-00003B000000}">
      <text>
        <r>
          <rPr>
            <b/>
            <sz val="9"/>
            <color indexed="81"/>
            <rFont val="Tahoma"/>
            <family val="2"/>
          </rPr>
          <t>Pick List</t>
        </r>
        <r>
          <rPr>
            <sz val="9"/>
            <color indexed="81"/>
            <rFont val="Tahoma"/>
            <family val="2"/>
          </rPr>
          <t xml:space="preserve">
</t>
        </r>
      </text>
    </comment>
    <comment ref="E83" authorId="0" shapeId="0" xr:uid="{00000000-0006-0000-0100-00003C000000}">
      <text>
        <r>
          <rPr>
            <b/>
            <sz val="9"/>
            <color indexed="81"/>
            <rFont val="Tahoma"/>
            <family val="2"/>
          </rPr>
          <t>Pick List</t>
        </r>
        <r>
          <rPr>
            <sz val="9"/>
            <color indexed="81"/>
            <rFont val="Tahoma"/>
            <family val="2"/>
          </rPr>
          <t xml:space="preserve">
</t>
        </r>
      </text>
    </comment>
    <comment ref="E84" authorId="0" shapeId="0" xr:uid="{00000000-0006-0000-0100-00003D000000}">
      <text>
        <r>
          <rPr>
            <b/>
            <sz val="9"/>
            <color indexed="81"/>
            <rFont val="Tahoma"/>
            <family val="2"/>
          </rPr>
          <t>Pick List</t>
        </r>
        <r>
          <rPr>
            <sz val="9"/>
            <color indexed="81"/>
            <rFont val="Tahoma"/>
            <family val="2"/>
          </rPr>
          <t xml:space="preserve">
</t>
        </r>
      </text>
    </comment>
    <comment ref="E85" authorId="0" shapeId="0" xr:uid="{00000000-0006-0000-0100-00003E000000}">
      <text>
        <r>
          <rPr>
            <b/>
            <sz val="9"/>
            <color indexed="81"/>
            <rFont val="Tahoma"/>
            <family val="2"/>
          </rPr>
          <t>Pick List</t>
        </r>
        <r>
          <rPr>
            <sz val="9"/>
            <color indexed="81"/>
            <rFont val="Tahoma"/>
            <family val="2"/>
          </rPr>
          <t xml:space="preserve">
</t>
        </r>
      </text>
    </comment>
    <comment ref="E86" authorId="0" shapeId="0" xr:uid="{00000000-0006-0000-0100-00003F000000}">
      <text>
        <r>
          <rPr>
            <b/>
            <sz val="9"/>
            <color indexed="81"/>
            <rFont val="Tahoma"/>
            <family val="2"/>
          </rPr>
          <t>Pick List</t>
        </r>
        <r>
          <rPr>
            <sz val="9"/>
            <color indexed="81"/>
            <rFont val="Tahoma"/>
            <family val="2"/>
          </rPr>
          <t xml:space="preserve">
</t>
        </r>
      </text>
    </comment>
    <comment ref="E87" authorId="0" shapeId="0" xr:uid="{00000000-0006-0000-0100-000040000000}">
      <text>
        <r>
          <rPr>
            <b/>
            <sz val="9"/>
            <color indexed="81"/>
            <rFont val="Tahoma"/>
            <family val="2"/>
          </rPr>
          <t>Pick List</t>
        </r>
        <r>
          <rPr>
            <sz val="9"/>
            <color indexed="81"/>
            <rFont val="Tahoma"/>
            <family val="2"/>
          </rPr>
          <t xml:space="preserve">
</t>
        </r>
      </text>
    </comment>
    <comment ref="E88" authorId="0" shapeId="0" xr:uid="{00000000-0006-0000-0100-000041000000}">
      <text>
        <r>
          <rPr>
            <b/>
            <sz val="9"/>
            <color indexed="81"/>
            <rFont val="Tahoma"/>
            <family val="2"/>
          </rPr>
          <t>Pick List</t>
        </r>
        <r>
          <rPr>
            <sz val="9"/>
            <color indexed="81"/>
            <rFont val="Tahoma"/>
            <family val="2"/>
          </rPr>
          <t xml:space="preserve">
</t>
        </r>
      </text>
    </comment>
    <comment ref="E89" authorId="0" shapeId="0" xr:uid="{00000000-0006-0000-0100-000042000000}">
      <text>
        <r>
          <rPr>
            <b/>
            <sz val="9"/>
            <color indexed="81"/>
            <rFont val="Tahoma"/>
            <family val="2"/>
          </rPr>
          <t>Pick List</t>
        </r>
        <r>
          <rPr>
            <sz val="9"/>
            <color indexed="81"/>
            <rFont val="Tahoma"/>
            <family val="2"/>
          </rPr>
          <t xml:space="preserve">
</t>
        </r>
      </text>
    </comment>
    <comment ref="E90" authorId="0" shapeId="0" xr:uid="{00000000-0006-0000-0100-000043000000}">
      <text>
        <r>
          <rPr>
            <b/>
            <sz val="9"/>
            <color indexed="81"/>
            <rFont val="Tahoma"/>
            <family val="2"/>
          </rPr>
          <t>Pick List</t>
        </r>
        <r>
          <rPr>
            <sz val="9"/>
            <color indexed="81"/>
            <rFont val="Tahoma"/>
            <family val="2"/>
          </rPr>
          <t xml:space="preserve">
</t>
        </r>
      </text>
    </comment>
    <comment ref="E91" authorId="0" shapeId="0" xr:uid="{00000000-0006-0000-0100-000044000000}">
      <text>
        <r>
          <rPr>
            <b/>
            <sz val="9"/>
            <color indexed="81"/>
            <rFont val="Tahoma"/>
            <family val="2"/>
          </rPr>
          <t>Pick List</t>
        </r>
        <r>
          <rPr>
            <sz val="9"/>
            <color indexed="81"/>
            <rFont val="Tahoma"/>
            <family val="2"/>
          </rPr>
          <t xml:space="preserve">
</t>
        </r>
      </text>
    </comment>
    <comment ref="E92" authorId="0" shapeId="0" xr:uid="{00000000-0006-0000-0100-000045000000}">
      <text>
        <r>
          <rPr>
            <b/>
            <sz val="9"/>
            <color indexed="81"/>
            <rFont val="Tahoma"/>
            <family val="2"/>
          </rPr>
          <t>Pick List</t>
        </r>
        <r>
          <rPr>
            <sz val="9"/>
            <color indexed="81"/>
            <rFont val="Tahoma"/>
            <family val="2"/>
          </rPr>
          <t xml:space="preserve">
</t>
        </r>
      </text>
    </comment>
    <comment ref="E93" authorId="0" shapeId="0" xr:uid="{00000000-0006-0000-0100-000046000000}">
      <text>
        <r>
          <rPr>
            <b/>
            <sz val="9"/>
            <color indexed="81"/>
            <rFont val="Tahoma"/>
            <family val="2"/>
          </rPr>
          <t>Pick List</t>
        </r>
        <r>
          <rPr>
            <sz val="9"/>
            <color indexed="81"/>
            <rFont val="Tahoma"/>
            <family val="2"/>
          </rPr>
          <t xml:space="preserve">
</t>
        </r>
      </text>
    </comment>
    <comment ref="E94" authorId="0" shapeId="0" xr:uid="{00000000-0006-0000-0100-000047000000}">
      <text>
        <r>
          <rPr>
            <b/>
            <sz val="9"/>
            <color indexed="81"/>
            <rFont val="Tahoma"/>
            <family val="2"/>
          </rPr>
          <t>Pick List</t>
        </r>
        <r>
          <rPr>
            <sz val="9"/>
            <color indexed="81"/>
            <rFont val="Tahoma"/>
            <family val="2"/>
          </rPr>
          <t xml:space="preserve">
</t>
        </r>
      </text>
    </comment>
    <comment ref="E95" authorId="0" shapeId="0" xr:uid="{00000000-0006-0000-0100-000048000000}">
      <text>
        <r>
          <rPr>
            <b/>
            <sz val="9"/>
            <color indexed="81"/>
            <rFont val="Tahoma"/>
            <family val="2"/>
          </rPr>
          <t>Pick List</t>
        </r>
        <r>
          <rPr>
            <sz val="9"/>
            <color indexed="81"/>
            <rFont val="Tahoma"/>
            <family val="2"/>
          </rPr>
          <t xml:space="preserve">
</t>
        </r>
      </text>
    </comment>
    <comment ref="E96" authorId="0" shapeId="0" xr:uid="{00000000-0006-0000-0100-000049000000}">
      <text>
        <r>
          <rPr>
            <b/>
            <sz val="9"/>
            <color indexed="81"/>
            <rFont val="Tahoma"/>
            <family val="2"/>
          </rPr>
          <t>Pick List</t>
        </r>
        <r>
          <rPr>
            <sz val="9"/>
            <color indexed="81"/>
            <rFont val="Tahoma"/>
            <family val="2"/>
          </rPr>
          <t xml:space="preserve">
</t>
        </r>
      </text>
    </comment>
    <comment ref="E97" authorId="0" shapeId="0" xr:uid="{00000000-0006-0000-0100-00004A000000}">
      <text>
        <r>
          <rPr>
            <b/>
            <sz val="9"/>
            <color indexed="81"/>
            <rFont val="Tahoma"/>
            <family val="2"/>
          </rPr>
          <t>Pick List</t>
        </r>
        <r>
          <rPr>
            <sz val="9"/>
            <color indexed="81"/>
            <rFont val="Tahoma"/>
            <family val="2"/>
          </rPr>
          <t xml:space="preserve">
</t>
        </r>
      </text>
    </comment>
    <comment ref="E98" authorId="0" shapeId="0" xr:uid="{00000000-0006-0000-0100-00004B000000}">
      <text>
        <r>
          <rPr>
            <b/>
            <sz val="9"/>
            <color indexed="81"/>
            <rFont val="Tahoma"/>
            <family val="2"/>
          </rPr>
          <t>Pick List</t>
        </r>
        <r>
          <rPr>
            <sz val="9"/>
            <color indexed="81"/>
            <rFont val="Tahoma"/>
            <family val="2"/>
          </rPr>
          <t xml:space="preserve">
</t>
        </r>
      </text>
    </comment>
    <comment ref="E99" authorId="0" shapeId="0" xr:uid="{00000000-0006-0000-0100-00004C000000}">
      <text>
        <r>
          <rPr>
            <b/>
            <sz val="9"/>
            <color indexed="81"/>
            <rFont val="Tahoma"/>
            <family val="2"/>
          </rPr>
          <t>Pick List</t>
        </r>
        <r>
          <rPr>
            <sz val="9"/>
            <color indexed="81"/>
            <rFont val="Tahoma"/>
            <family val="2"/>
          </rPr>
          <t xml:space="preserve">
</t>
        </r>
      </text>
    </comment>
    <comment ref="E100" authorId="0" shapeId="0" xr:uid="{00000000-0006-0000-0100-00004D000000}">
      <text>
        <r>
          <rPr>
            <b/>
            <sz val="9"/>
            <color indexed="81"/>
            <rFont val="Tahoma"/>
            <family val="2"/>
          </rPr>
          <t>Pick List</t>
        </r>
        <r>
          <rPr>
            <sz val="9"/>
            <color indexed="81"/>
            <rFont val="Tahoma"/>
            <family val="2"/>
          </rPr>
          <t xml:space="preserve">
</t>
        </r>
      </text>
    </comment>
    <comment ref="E101" authorId="0" shapeId="0" xr:uid="{00000000-0006-0000-0100-00004E000000}">
      <text>
        <r>
          <rPr>
            <b/>
            <sz val="9"/>
            <color indexed="81"/>
            <rFont val="Tahoma"/>
            <family val="2"/>
          </rPr>
          <t>Pick List</t>
        </r>
        <r>
          <rPr>
            <sz val="9"/>
            <color indexed="81"/>
            <rFont val="Tahoma"/>
            <family val="2"/>
          </rPr>
          <t xml:space="preserve">
</t>
        </r>
      </text>
    </comment>
    <comment ref="E102" authorId="0" shapeId="0" xr:uid="{00000000-0006-0000-0100-00004F000000}">
      <text>
        <r>
          <rPr>
            <b/>
            <sz val="9"/>
            <color indexed="81"/>
            <rFont val="Tahoma"/>
            <family val="2"/>
          </rPr>
          <t>Pick List</t>
        </r>
        <r>
          <rPr>
            <sz val="9"/>
            <color indexed="81"/>
            <rFont val="Tahoma"/>
            <family val="2"/>
          </rPr>
          <t xml:space="preserve">
</t>
        </r>
      </text>
    </comment>
    <comment ref="E105" authorId="0" shapeId="0" xr:uid="{00000000-0006-0000-0100-000050000000}">
      <text>
        <r>
          <rPr>
            <b/>
            <sz val="8"/>
            <color indexed="81"/>
            <rFont val="Tahoma"/>
            <family val="2"/>
          </rPr>
          <t>Pick List</t>
        </r>
        <r>
          <rPr>
            <sz val="8"/>
            <color indexed="81"/>
            <rFont val="Tahoma"/>
            <family val="2"/>
          </rPr>
          <t xml:space="preserve">
</t>
        </r>
      </text>
    </comment>
    <comment ref="E106" authorId="0" shapeId="0" xr:uid="{00000000-0006-0000-0100-000051000000}">
      <text>
        <r>
          <rPr>
            <b/>
            <sz val="8"/>
            <color indexed="81"/>
            <rFont val="Tahoma"/>
            <family val="2"/>
          </rPr>
          <t>Pick List</t>
        </r>
        <r>
          <rPr>
            <sz val="8"/>
            <color indexed="81"/>
            <rFont val="Tahoma"/>
            <family val="2"/>
          </rPr>
          <t xml:space="preserve">
</t>
        </r>
      </text>
    </comment>
    <comment ref="E108" authorId="0" shapeId="0" xr:uid="{00000000-0006-0000-0100-000052000000}">
      <text>
        <r>
          <rPr>
            <b/>
            <sz val="8"/>
            <color indexed="81"/>
            <rFont val="Tahoma"/>
            <family val="2"/>
          </rPr>
          <t>Pick List</t>
        </r>
        <r>
          <rPr>
            <sz val="8"/>
            <color indexed="81"/>
            <rFont val="Tahoma"/>
            <family val="2"/>
          </rPr>
          <t xml:space="preserve">
</t>
        </r>
      </text>
    </comment>
    <comment ref="E109" authorId="0" shapeId="0" xr:uid="{00000000-0006-0000-0100-000053000000}">
      <text>
        <r>
          <rPr>
            <b/>
            <sz val="8"/>
            <color indexed="81"/>
            <rFont val="Tahoma"/>
            <family val="2"/>
          </rPr>
          <t>Pick List</t>
        </r>
        <r>
          <rPr>
            <sz val="8"/>
            <color indexed="81"/>
            <rFont val="Tahoma"/>
            <family val="2"/>
          </rPr>
          <t xml:space="preserve">
</t>
        </r>
      </text>
    </comment>
    <comment ref="E110" authorId="0" shapeId="0" xr:uid="{00000000-0006-0000-0100-000054000000}">
      <text>
        <r>
          <rPr>
            <b/>
            <sz val="8"/>
            <color indexed="81"/>
            <rFont val="Tahoma"/>
            <family val="2"/>
          </rPr>
          <t>Pick List</t>
        </r>
        <r>
          <rPr>
            <sz val="8"/>
            <color indexed="81"/>
            <rFont val="Tahoma"/>
            <family val="2"/>
          </rPr>
          <t xml:space="preserve">
</t>
        </r>
      </text>
    </comment>
    <comment ref="E111" authorId="0" shapeId="0" xr:uid="{00000000-0006-0000-0100-000055000000}">
      <text>
        <r>
          <rPr>
            <b/>
            <sz val="8"/>
            <color indexed="81"/>
            <rFont val="Tahoma"/>
            <family val="2"/>
          </rPr>
          <t>Pick List</t>
        </r>
        <r>
          <rPr>
            <sz val="8"/>
            <color indexed="81"/>
            <rFont val="Tahoma"/>
            <family val="2"/>
          </rPr>
          <t xml:space="preserve">
</t>
        </r>
      </text>
    </comment>
    <comment ref="D116" authorId="0" shapeId="0" xr:uid="{00000000-0006-0000-0100-000056000000}">
      <text>
        <r>
          <rPr>
            <b/>
            <sz val="9"/>
            <color indexed="81"/>
            <rFont val="Tahoma"/>
            <family val="2"/>
          </rPr>
          <t xml:space="preserve">Pick List
</t>
        </r>
      </text>
    </comment>
    <comment ref="D117" authorId="0" shapeId="0" xr:uid="{00000000-0006-0000-0100-000057000000}">
      <text>
        <r>
          <rPr>
            <b/>
            <sz val="9"/>
            <color indexed="81"/>
            <rFont val="Tahoma"/>
            <family val="2"/>
          </rPr>
          <t xml:space="preserve">Pick List
</t>
        </r>
      </text>
    </comment>
    <comment ref="D118" authorId="0" shapeId="0" xr:uid="{00000000-0006-0000-0100-000058000000}">
      <text>
        <r>
          <rPr>
            <b/>
            <sz val="9"/>
            <color indexed="81"/>
            <rFont val="Tahoma"/>
            <family val="2"/>
          </rPr>
          <t xml:space="preserve">Pick List
</t>
        </r>
      </text>
    </comment>
    <comment ref="D119" authorId="0" shapeId="0" xr:uid="{00000000-0006-0000-0100-000059000000}">
      <text>
        <r>
          <rPr>
            <b/>
            <sz val="9"/>
            <color indexed="81"/>
            <rFont val="Tahoma"/>
            <family val="2"/>
          </rPr>
          <t xml:space="preserve">Pick List
</t>
        </r>
      </text>
    </comment>
    <comment ref="D120" authorId="0" shapeId="0" xr:uid="{00000000-0006-0000-0100-00005A000000}">
      <text>
        <r>
          <rPr>
            <b/>
            <sz val="9"/>
            <color indexed="81"/>
            <rFont val="Tahoma"/>
            <family val="2"/>
          </rPr>
          <t xml:space="preserve">Pick List
</t>
        </r>
      </text>
    </comment>
    <comment ref="D121" authorId="0" shapeId="0" xr:uid="{00000000-0006-0000-0100-00005B000000}">
      <text>
        <r>
          <rPr>
            <b/>
            <sz val="9"/>
            <color indexed="81"/>
            <rFont val="Tahoma"/>
            <family val="2"/>
          </rPr>
          <t xml:space="preserve">Pick List
</t>
        </r>
      </text>
    </comment>
    <comment ref="D122" authorId="0" shapeId="0" xr:uid="{00000000-0006-0000-0100-00005C000000}">
      <text>
        <r>
          <rPr>
            <b/>
            <sz val="9"/>
            <color indexed="81"/>
            <rFont val="Tahoma"/>
            <family val="2"/>
          </rPr>
          <t xml:space="preserve">Pick List
</t>
        </r>
      </text>
    </comment>
    <comment ref="D123" authorId="0" shapeId="0" xr:uid="{00000000-0006-0000-0100-00005D000000}">
      <text>
        <r>
          <rPr>
            <b/>
            <sz val="9"/>
            <color indexed="81"/>
            <rFont val="Tahoma"/>
            <family val="2"/>
          </rPr>
          <t xml:space="preserve">Pick List
</t>
        </r>
      </text>
    </comment>
    <comment ref="D124" authorId="0" shapeId="0" xr:uid="{00000000-0006-0000-0100-00005E000000}">
      <text>
        <r>
          <rPr>
            <b/>
            <sz val="9"/>
            <color indexed="81"/>
            <rFont val="Tahoma"/>
            <family val="2"/>
          </rPr>
          <t xml:space="preserve">Pick List
</t>
        </r>
      </text>
    </comment>
    <comment ref="C133" authorId="0" shapeId="0" xr:uid="{00000000-0006-0000-0100-00005F000000}">
      <text>
        <r>
          <rPr>
            <b/>
            <sz val="9"/>
            <color indexed="81"/>
            <rFont val="Tahoma"/>
            <family val="2"/>
          </rPr>
          <t>Pick List</t>
        </r>
      </text>
    </comment>
    <comment ref="C134" authorId="0" shapeId="0" xr:uid="{00000000-0006-0000-0100-000060000000}">
      <text>
        <r>
          <rPr>
            <b/>
            <sz val="9"/>
            <color indexed="81"/>
            <rFont val="Tahoma"/>
            <family val="2"/>
          </rPr>
          <t>Pick List</t>
        </r>
      </text>
    </comment>
    <comment ref="C135" authorId="0" shapeId="0" xr:uid="{00000000-0006-0000-0100-000061000000}">
      <text>
        <r>
          <rPr>
            <b/>
            <sz val="9"/>
            <color indexed="81"/>
            <rFont val="Tahoma"/>
            <family val="2"/>
          </rPr>
          <t>Pick List</t>
        </r>
      </text>
    </comment>
    <comment ref="C136" authorId="0" shapeId="0" xr:uid="{00000000-0006-0000-0100-000062000000}">
      <text>
        <r>
          <rPr>
            <b/>
            <sz val="9"/>
            <color indexed="81"/>
            <rFont val="Tahoma"/>
            <family val="2"/>
          </rPr>
          <t>Pick List</t>
        </r>
      </text>
    </comment>
    <comment ref="C137" authorId="0" shapeId="0" xr:uid="{00000000-0006-0000-0100-000063000000}">
      <text>
        <r>
          <rPr>
            <b/>
            <sz val="9"/>
            <color indexed="81"/>
            <rFont val="Tahoma"/>
            <family val="2"/>
          </rPr>
          <t>Pick List</t>
        </r>
      </text>
    </comment>
    <comment ref="C138" authorId="0" shapeId="0" xr:uid="{00000000-0006-0000-0100-000064000000}">
      <text>
        <r>
          <rPr>
            <b/>
            <sz val="9"/>
            <color indexed="81"/>
            <rFont val="Tahoma"/>
            <family val="2"/>
          </rPr>
          <t>Pick List</t>
        </r>
      </text>
    </comment>
  </commentList>
</comments>
</file>

<file path=xl/sharedStrings.xml><?xml version="1.0" encoding="utf-8"?>
<sst xmlns="http://schemas.openxmlformats.org/spreadsheetml/2006/main" count="722" uniqueCount="471">
  <si>
    <t>IH</t>
  </si>
  <si>
    <t>Safety</t>
  </si>
  <si>
    <t>IH Ethics</t>
  </si>
  <si>
    <t>CM
Points</t>
  </si>
  <si>
    <t>CM Points</t>
  </si>
  <si>
    <t>Category 4: Attendance At Educational Programs</t>
  </si>
  <si>
    <t xml:space="preserve">CM Points for that calendar year = </t>
  </si>
  <si>
    <t>Category 3 Points:</t>
  </si>
  <si>
    <t xml:space="preserve">Your Signature </t>
  </si>
  <si>
    <t xml:space="preserve">Date </t>
  </si>
  <si>
    <t>Enter employment status %</t>
  </si>
  <si>
    <t>%</t>
  </si>
  <si>
    <t>No, Pick Me</t>
  </si>
  <si>
    <t>Pick Me</t>
  </si>
  <si>
    <t>Category 7 Points</t>
  </si>
  <si>
    <t>Certificate No.</t>
  </si>
  <si>
    <t>Name</t>
  </si>
  <si>
    <t>Email</t>
  </si>
  <si>
    <t>Phone Number</t>
  </si>
  <si>
    <t>CAIH</t>
  </si>
  <si>
    <t>certtype</t>
  </si>
  <si>
    <t>Cycle Extension</t>
  </si>
  <si>
    <t>speccond</t>
  </si>
  <si>
    <t>Current Rules</t>
  </si>
  <si>
    <t>Peer Reviewed?</t>
  </si>
  <si>
    <t>end</t>
  </si>
  <si>
    <t>% IH Practice for the 12 months</t>
  </si>
  <si>
    <t>60 months</t>
  </si>
  <si>
    <t>cycle</t>
  </si>
  <si>
    <t>Compatibility Report for CMWKST.xls</t>
  </si>
  <si>
    <t>Run on 1/21/2012 14:02</t>
  </si>
  <si>
    <t>The following features in this workbook are not supported by earlier versions of Excel. These features may be lost or degraded when opening this workbook in an earlier version of Excel or if you save this workbook in an earlier file format.</t>
  </si>
  <si>
    <t>Significant loss of functionality</t>
  </si>
  <si>
    <t># of occurrences</t>
  </si>
  <si>
    <t>Version</t>
  </si>
  <si>
    <t>Any effects on this object will be removed. Any text that overflows the boundaries of this graphic will appear clipped.</t>
  </si>
  <si>
    <t>Instructions'!A1:L34</t>
  </si>
  <si>
    <t>Excel 97-2003</t>
  </si>
  <si>
    <t>Minor loss of fidelity</t>
  </si>
  <si>
    <t>Some cells or styles in this workbook contain formatting that is not supported by the selected file format. These formats will be converted to the closest format available.</t>
  </si>
  <si>
    <t>start</t>
  </si>
  <si>
    <t>Presenter</t>
  </si>
  <si>
    <t>Co-Author</t>
  </si>
  <si>
    <r>
      <t xml:space="preserve">Submit the CM Worksheet </t>
    </r>
    <r>
      <rPr>
        <b/>
        <u/>
        <sz val="9"/>
        <rFont val="Arial"/>
        <family val="2"/>
      </rPr>
      <t>ONE TIME</t>
    </r>
    <r>
      <rPr>
        <b/>
        <sz val="9"/>
        <rFont val="Arial"/>
        <family val="2"/>
      </rPr>
      <t xml:space="preserve"> via </t>
    </r>
    <r>
      <rPr>
        <b/>
        <u/>
        <sz val="9"/>
        <rFont val="Arial"/>
        <family val="2"/>
      </rPr>
      <t>one</t>
    </r>
    <r>
      <rPr>
        <b/>
        <sz val="9"/>
        <rFont val="Arial"/>
        <family val="2"/>
      </rPr>
      <t xml:space="preserve"> of the following methods:</t>
    </r>
  </si>
  <si>
    <r>
      <rPr>
        <b/>
        <sz val="8"/>
        <color indexed="10"/>
        <rFont val="Arial"/>
        <family val="2"/>
      </rPr>
      <t>LATE PENALTIES</t>
    </r>
    <r>
      <rPr>
        <b/>
        <sz val="8"/>
        <rFont val="Arial"/>
        <family val="2"/>
      </rPr>
      <t xml:space="preserve"> - CMWs received electronically or postmarked &gt; 1 month after the end of the CM cycle will be subject to a late fee. Worksheets received &gt;3 months after the end of the CM cycle must be accompanied by all proof-of-participation records. </t>
    </r>
  </si>
  <si>
    <t>Total Points</t>
  </si>
  <si>
    <t>Live</t>
  </si>
  <si>
    <t>Asynchronous</t>
  </si>
  <si>
    <t>Delivery</t>
  </si>
  <si>
    <t>Yes</t>
  </si>
  <si>
    <t>No</t>
  </si>
  <si>
    <t>Your Role?</t>
  </si>
  <si>
    <t>Primary Author</t>
  </si>
  <si>
    <t>CommRole</t>
  </si>
  <si>
    <t>CM Area</t>
  </si>
  <si>
    <t>Cat 7 Activity</t>
  </si>
  <si>
    <t>Point</t>
  </si>
  <si>
    <r>
      <t xml:space="preserve">Event Title, Sponsor &amp; Location
</t>
    </r>
    <r>
      <rPr>
        <sz val="7"/>
        <rFont val="Arial"/>
        <family val="2"/>
      </rPr>
      <t>(Briefly describe subject matter if not clear from the title)</t>
    </r>
  </si>
  <si>
    <r>
      <t xml:space="preserve">Presentation Time 
</t>
    </r>
    <r>
      <rPr>
        <sz val="8"/>
        <color indexed="12"/>
        <rFont val="Arial"/>
        <family val="2"/>
      </rPr>
      <t>(minutes)</t>
    </r>
  </si>
  <si>
    <t>Points</t>
  </si>
  <si>
    <t>Max Reach</t>
  </si>
  <si>
    <t>Point Sum</t>
  </si>
  <si>
    <t>Max Reach?</t>
  </si>
  <si>
    <t>Toxicology</t>
  </si>
  <si>
    <t>Subject Matter</t>
  </si>
  <si>
    <t>Hazardous Waste Operations</t>
  </si>
  <si>
    <t>Fall Protection</t>
  </si>
  <si>
    <t>Electrical Safety</t>
  </si>
  <si>
    <t>Confined Space</t>
  </si>
  <si>
    <t>Air Quality</t>
  </si>
  <si>
    <t>TSCA</t>
  </si>
  <si>
    <t>RCRA</t>
  </si>
  <si>
    <t>Dangerous Goods Transporation</t>
  </si>
  <si>
    <t>Emergency Management</t>
  </si>
  <si>
    <t>Emergency Planning</t>
  </si>
  <si>
    <t>Air Monitoring</t>
  </si>
  <si>
    <t>Respiratory Protection</t>
  </si>
  <si>
    <t>Personal Protective Equipment</t>
  </si>
  <si>
    <t>Air Sampling &amp; Instrumentation</t>
  </si>
  <si>
    <t xml:space="preserve">Analytical Chemistry </t>
  </si>
  <si>
    <t>Basic Science</t>
  </si>
  <si>
    <t xml:space="preserve">Biohazards </t>
  </si>
  <si>
    <t xml:space="preserve">Biostatistics &amp; Epidemiology </t>
  </si>
  <si>
    <t xml:space="preserve">Community Exposure </t>
  </si>
  <si>
    <t xml:space="preserve">Engineering Controls/Ventilation </t>
  </si>
  <si>
    <t xml:space="preserve">Ergonomics </t>
  </si>
  <si>
    <t xml:space="preserve">Health Risk Analysis and Hazard Communication </t>
  </si>
  <si>
    <t xml:space="preserve">Noise </t>
  </si>
  <si>
    <t xml:space="preserve">Non-Engineering Controls </t>
  </si>
  <si>
    <t xml:space="preserve">Thermal Stressors </t>
  </si>
  <si>
    <t>Six Sigma,statistics portion only</t>
  </si>
  <si>
    <t>Management w/EHS emphasis</t>
  </si>
  <si>
    <t xml:space="preserve">Radiation, Nonionizing </t>
  </si>
  <si>
    <t xml:space="preserve">Radiation, Ionizing </t>
  </si>
  <si>
    <t>Heat Stress</t>
  </si>
  <si>
    <t>Cold Stress</t>
  </si>
  <si>
    <t>Accident Investigation</t>
  </si>
  <si>
    <t>Behavior-Based Safety</t>
  </si>
  <si>
    <t>Climate Change (health related aspects)</t>
  </si>
  <si>
    <t xml:space="preserve">Compliance Systems </t>
  </si>
  <si>
    <t>EH&amp;S Auditing</t>
  </si>
  <si>
    <t>EH&amp;S Reporting/Tracking Systems</t>
  </si>
  <si>
    <t>EH&amp;S Expert Witness</t>
  </si>
  <si>
    <t>Emergency Response</t>
  </si>
  <si>
    <t>Environmental Permitting</t>
  </si>
  <si>
    <t>Environmental Risk Assessments</t>
  </si>
  <si>
    <t>Gamma Spectroscopy</t>
  </si>
  <si>
    <t>Good Laboratory Practice (GLP)</t>
  </si>
  <si>
    <t>Green Chemistry</t>
  </si>
  <si>
    <t>Greenhouse Gases</t>
  </si>
  <si>
    <t>Globally Harmonized System (GHS)</t>
  </si>
  <si>
    <t>Hazardous Waste Management</t>
  </si>
  <si>
    <t>Hydrocarbon Storage Management</t>
  </si>
  <si>
    <t>Incident Command</t>
  </si>
  <si>
    <t>LEED (health-related aspects)</t>
  </si>
  <si>
    <t>Management of an IH Program</t>
  </si>
  <si>
    <t>Occupational Health and Medicine</t>
  </si>
  <si>
    <t>OSHA Log Reporting</t>
  </si>
  <si>
    <t>Process Safety Management</t>
  </si>
  <si>
    <t>Product Stewardship</t>
  </si>
  <si>
    <t>REACH</t>
  </si>
  <si>
    <t>RMP Reviews</t>
  </si>
  <si>
    <t>Root Cause Analysis</t>
  </si>
  <si>
    <t>Vapor Intrusion</t>
  </si>
  <si>
    <t>Arc Flash</t>
  </si>
  <si>
    <t>Combustible Dust</t>
  </si>
  <si>
    <t>Cranes &amp; Derricks</t>
  </si>
  <si>
    <t>Excavations</t>
  </si>
  <si>
    <t>Fire Prevention</t>
  </si>
  <si>
    <t>Gas Cylinders</t>
  </si>
  <si>
    <t>Hot Work</t>
  </si>
  <si>
    <t>Lock Out/Tag Out</t>
  </si>
  <si>
    <t>Machine Guarding</t>
  </si>
  <si>
    <t>OSHA Construction</t>
  </si>
  <si>
    <t xml:space="preserve">OSHA General Industry </t>
  </si>
  <si>
    <t>Powered Industrial Trucks</t>
  </si>
  <si>
    <t>Rigging/Hoisting</t>
  </si>
  <si>
    <t>Scaffolding</t>
  </si>
  <si>
    <t>Trenching</t>
  </si>
  <si>
    <t>Worker’s Compensation</t>
  </si>
  <si>
    <t>First-Aid</t>
  </si>
  <si>
    <t>Not Eligible</t>
  </si>
  <si>
    <t xml:space="preserve">AED </t>
  </si>
  <si>
    <t>Conflict of Interest</t>
  </si>
  <si>
    <t>Confidentiality</t>
  </si>
  <si>
    <t>Intellectual property rights</t>
  </si>
  <si>
    <t>Erosion Technology</t>
  </si>
  <si>
    <t>Fire Extinguisher (Personal)</t>
  </si>
  <si>
    <t>Home Disaster Planning (Personal)</t>
  </si>
  <si>
    <t>Hurricane Preparedness (Personal)</t>
  </si>
  <si>
    <t>Trafficking In Persons</t>
  </si>
  <si>
    <t xml:space="preserve">Category 4 CM Area </t>
  </si>
  <si>
    <t>Typical CM Area Based on Subject Matter</t>
  </si>
  <si>
    <t>Animal Health w/EHS emphasis</t>
  </si>
  <si>
    <t>Business Continuity Planning w/EHS emphasis</t>
  </si>
  <si>
    <t>Client Relationships w/EHS emphasis</t>
  </si>
  <si>
    <t>Communication w/EHS emphasis</t>
  </si>
  <si>
    <t>Computer Skills w/EHS emphasis</t>
  </si>
  <si>
    <t>Contract Management w/EHS emphasis</t>
  </si>
  <si>
    <t>Driving Safety</t>
  </si>
  <si>
    <t>Driver Training (Personal)</t>
  </si>
  <si>
    <t>Emotional IQ w/EHS emphasis</t>
  </si>
  <si>
    <t>EMT w/EHS emphasis</t>
  </si>
  <si>
    <t>Expert Witness w/EHS emphasis</t>
  </si>
  <si>
    <t>Facilitation Skills w/EHS emphasis</t>
  </si>
  <si>
    <t>Financial  w/EHS emphasis</t>
  </si>
  <si>
    <t>Fire Safety</t>
  </si>
  <si>
    <t>Human Performance Management w/EHS emphasis</t>
  </si>
  <si>
    <t>Leadership Workshops w/EHS emphasis</t>
  </si>
  <si>
    <t>Media training w/EHS emphasis</t>
  </si>
  <si>
    <t>Partnering with Local Governments w/EHS emphasis</t>
  </si>
  <si>
    <t>Photography (General) w/EHS emphasis</t>
  </si>
  <si>
    <t>Process Improvement Tools w/EHS emphasis</t>
  </si>
  <si>
    <t>Project Management w/EHS emphasis</t>
  </si>
  <si>
    <t>Quality Management Systems w/EHS emphasis</t>
  </si>
  <si>
    <t>Management Systems w/EHS emphasis</t>
  </si>
  <si>
    <t>Reputation Management w/EHS emphasis</t>
  </si>
  <si>
    <t>Resiliency Skills w/EHS emphasis</t>
  </si>
  <si>
    <t>Situational Leadership w/EHS emphasis</t>
  </si>
  <si>
    <t>Stress Management (personal)</t>
  </si>
  <si>
    <t>Structural Roofing w/EHS emphasis</t>
  </si>
  <si>
    <t>Substance Abuse w/EHS emphasis</t>
  </si>
  <si>
    <t>Supervisory Skills w/EHS emphasis</t>
  </si>
  <si>
    <t>Technical writing w/EHS emphasis</t>
  </si>
  <si>
    <t>Train-the-Trainer w/EHS emphasis</t>
  </si>
  <si>
    <t>Industrial Processes</t>
  </si>
  <si>
    <t>Insurance Law w/EHS emphasis</t>
  </si>
  <si>
    <t>Workplace Violence</t>
  </si>
  <si>
    <t>Business Conflicts</t>
  </si>
  <si>
    <t>Computer Applications w/EHS emphasis</t>
  </si>
  <si>
    <t>Environmental Management Systems, eg 14001 &amp; 18001</t>
  </si>
  <si>
    <t>Environmental Engineering</t>
  </si>
  <si>
    <t xml:space="preserve">Engineering Courses, Chemical, Civil, Mechanical </t>
  </si>
  <si>
    <t>Environmental Workshops w/EHS emphasis</t>
  </si>
  <si>
    <t>Environmental, Human Health-Related</t>
  </si>
  <si>
    <t>General Science, Math, Statistics</t>
  </si>
  <si>
    <t>Asbestos</t>
  </si>
  <si>
    <t>Lead</t>
  </si>
  <si>
    <t>Mold</t>
  </si>
  <si>
    <t>Organizational Effectiveness w/EHS emphasis</t>
  </si>
  <si>
    <t>Physical Security (pesonal)</t>
  </si>
  <si>
    <t>Plant or Site Safety Indoctrinations (personal)</t>
  </si>
  <si>
    <t>Poison Prevention (personal)</t>
  </si>
  <si>
    <t>Presentation Techniques w/EHS emphasis</t>
  </si>
  <si>
    <t xml:space="preserve">Privacy Information </t>
  </si>
  <si>
    <t>Professional Conduct</t>
  </si>
  <si>
    <t>Quality Systems w/EHS emphasis</t>
  </si>
  <si>
    <t>Regulatory Reviews, IH-Related</t>
  </si>
  <si>
    <t>Regulatory Reviews, Safety-Related</t>
  </si>
  <si>
    <t>Sustainability, w/Human Health emphasis</t>
  </si>
  <si>
    <t>Transportation, Dangerous Goods</t>
  </si>
  <si>
    <t>Transportation, Hazardous Materials</t>
  </si>
  <si>
    <t>Transportation, Emergency Response</t>
  </si>
  <si>
    <t>Wilderness Survival &amp; Response (personal)</t>
  </si>
  <si>
    <t>Work Environments &amp; Processes</t>
  </si>
  <si>
    <t>Workplace Relationships</t>
  </si>
  <si>
    <t>Fire Fighter</t>
  </si>
  <si>
    <t>Return</t>
  </si>
  <si>
    <t>Cycle length</t>
  </si>
  <si>
    <t>Max Months</t>
  </si>
  <si>
    <t>Safety Shower/Eyewash Stations</t>
  </si>
  <si>
    <t>Eyewash Stations/Safety Showers</t>
  </si>
  <si>
    <r>
      <t>Certification Type</t>
    </r>
    <r>
      <rPr>
        <b/>
        <vertAlign val="superscript"/>
        <sz val="8"/>
        <rFont val="Arial Narrow"/>
        <family val="2"/>
      </rPr>
      <t xml:space="preserve"> </t>
    </r>
  </si>
  <si>
    <t>Committee Name &amp; Sponsoring Organization</t>
  </si>
  <si>
    <t>Cycle Start Date</t>
  </si>
  <si>
    <t>Total Min Achieved</t>
  </si>
  <si>
    <t>IH Pts Achieved</t>
  </si>
  <si>
    <t xml:space="preserve">Cert Type &amp; Length: </t>
  </si>
  <si>
    <t>Type of Hardship Help Granted During Your Cycle?</t>
  </si>
  <si>
    <t>Category 2 Points</t>
  </si>
  <si>
    <t>Category 1 Points</t>
  </si>
  <si>
    <t>Cat 4 Points</t>
  </si>
  <si>
    <t xml:space="preserve">       or       click on the "CMW" tab below</t>
  </si>
  <si>
    <t>Category 5 Points</t>
  </si>
  <si>
    <t>Active Practice CAIH</t>
  </si>
  <si>
    <t>&gt;50% of my time</t>
  </si>
  <si>
    <t>&lt;20% of my time</t>
  </si>
  <si>
    <t>&gt; 95% of my time</t>
  </si>
  <si>
    <t>40 - 95% of my time</t>
  </si>
  <si>
    <t>1-40%</t>
  </si>
  <si>
    <t>20 - 49% of my time</t>
  </si>
  <si>
    <t>CAIH - Ext, 60M</t>
  </si>
  <si>
    <t>CAIH - 54M</t>
  </si>
  <si>
    <t>CIHwIEQ - Ext, 60M</t>
  </si>
  <si>
    <t>CIHwIEQ - 54M</t>
  </si>
  <si>
    <t>CIHwIEQ - 60M</t>
  </si>
  <si>
    <t>Ext</t>
  </si>
  <si>
    <t>54 or 60</t>
  </si>
  <si>
    <t>M &amp; Ext</t>
  </si>
  <si>
    <t>Last Year of Cycle</t>
  </si>
  <si>
    <t>54M</t>
  </si>
  <si>
    <t>54M-No Ext</t>
  </si>
  <si>
    <t>For the final 6 months of your Cycle</t>
  </si>
  <si>
    <t>60M + Ext</t>
  </si>
  <si>
    <t>For the final 18 months of your cycle</t>
  </si>
  <si>
    <r>
      <rPr>
        <vertAlign val="superscript"/>
        <sz val="9"/>
        <rFont val="Arial Narrow"/>
        <family val="2"/>
      </rPr>
      <t xml:space="preserve">1 </t>
    </r>
    <r>
      <rPr>
        <sz val="9"/>
        <rFont val="Arial Narrow"/>
        <family val="2"/>
      </rPr>
      <t>Minimum Requirements for recertification depend upon your Cert. Type and Cycle Length</t>
    </r>
  </si>
  <si>
    <r>
      <t>Cycle End Date</t>
    </r>
    <r>
      <rPr>
        <b/>
        <vertAlign val="superscript"/>
        <sz val="8"/>
        <rFont val="Arial Narrow"/>
        <family val="2"/>
      </rPr>
      <t xml:space="preserve"> 2</t>
    </r>
  </si>
  <si>
    <t>Return to CMW</t>
  </si>
  <si>
    <t>Job Position 1</t>
  </si>
  <si>
    <t>Job Position 2</t>
  </si>
  <si>
    <t>Job Position 3</t>
  </si>
  <si>
    <t>Enter Number of Work Months at Job Postion 1</t>
  </si>
  <si>
    <t>Any number 1-100; EX: Half time = 50, Full time = 100</t>
  </si>
  <si>
    <t>Enter data for Positions #2 and #3 if needed</t>
  </si>
  <si>
    <t>Instructions on how to use this CMW</t>
  </si>
  <si>
    <t>Presenter - Nat/Int Conf</t>
  </si>
  <si>
    <t>Co-Author - Nat/Int Conf</t>
  </si>
  <si>
    <t>Poster Session - Nat/Int Conf</t>
  </si>
  <si>
    <t>Teach</t>
  </si>
  <si>
    <t>Title of Presentation, Event &amp; Sponsor</t>
  </si>
  <si>
    <t>Nat/Int Conf</t>
  </si>
  <si>
    <t>&gt;60</t>
  </si>
  <si>
    <t>&lt;15 min</t>
  </si>
  <si>
    <t>Asychron.  Anal.</t>
  </si>
  <si>
    <t>Poster</t>
  </si>
  <si>
    <t>Sum</t>
  </si>
  <si>
    <t>&gt;15 &lt;60</t>
  </si>
  <si>
    <t>&lt;60</t>
  </si>
  <si>
    <t>Live &amp; &lt;15</t>
  </si>
  <si>
    <t>Asynch &amp; &lt;60</t>
  </si>
  <si>
    <t>Nat/Int Conf &amp; &lt;20</t>
  </si>
  <si>
    <t>Method?</t>
  </si>
  <si>
    <t>Date Verification</t>
  </si>
  <si>
    <r>
      <rPr>
        <i/>
        <sz val="12"/>
        <color indexed="12"/>
        <rFont val="Arial"/>
        <family val="2"/>
      </rPr>
      <t xml:space="preserve">Go to the </t>
    </r>
    <r>
      <rPr>
        <u/>
        <sz val="16"/>
        <color indexed="12"/>
        <rFont val="Arial"/>
        <family val="2"/>
      </rPr>
      <t>CM Worksheet</t>
    </r>
  </si>
  <si>
    <r>
      <rPr>
        <b/>
        <sz val="9"/>
        <rFont val="Arial"/>
        <family val="2"/>
      </rPr>
      <t>Contact Time</t>
    </r>
    <r>
      <rPr>
        <sz val="9"/>
        <rFont val="Arial"/>
        <family val="2"/>
      </rPr>
      <t xml:space="preserve"> </t>
    </r>
    <r>
      <rPr>
        <sz val="9"/>
        <color indexed="12"/>
        <rFont val="Arial"/>
        <family val="2"/>
      </rPr>
      <t xml:space="preserve">(Hours) </t>
    </r>
    <r>
      <rPr>
        <b/>
        <vertAlign val="superscript"/>
        <sz val="9"/>
        <color indexed="12"/>
        <rFont val="Arial"/>
        <family val="2"/>
      </rPr>
      <t>a</t>
    </r>
  </si>
  <si>
    <t>Last 6 months of the Extension</t>
  </si>
  <si>
    <t>No. of months at JP#3</t>
  </si>
  <si>
    <t>No. of months at JP#2</t>
  </si>
  <si>
    <t>Start Date</t>
  </si>
  <si>
    <t>Stop Date</t>
  </si>
  <si>
    <t>Leave of Absence 1 Year</t>
  </si>
  <si>
    <t>Leave of Absence 2 Years</t>
  </si>
  <si>
    <t>Cat 1 Pts</t>
  </si>
  <si>
    <t>CAIH - 60M</t>
  </si>
  <si>
    <t>LOA 2 yrs</t>
  </si>
  <si>
    <t>LOA 1 Yr</t>
  </si>
  <si>
    <t>54 - LOA 1</t>
  </si>
  <si>
    <t>54-LOA 2</t>
  </si>
  <si>
    <t>60 LOA 1</t>
  </si>
  <si>
    <t>60 LOA 2</t>
  </si>
  <si>
    <t xml:space="preserve"> points to recertify</t>
  </si>
  <si>
    <t>Total Pts to recertify</t>
  </si>
  <si>
    <r>
      <t>Recertification Points</t>
    </r>
    <r>
      <rPr>
        <b/>
        <vertAlign val="superscript"/>
        <sz val="9"/>
        <rFont val="Arial"/>
        <family val="2"/>
      </rPr>
      <t xml:space="preserve"> 1</t>
    </r>
  </si>
  <si>
    <t>&lt; Cycle Length</t>
  </si>
  <si>
    <t>verify within cm cycle dates</t>
  </si>
  <si>
    <t>CM cycle date verification</t>
  </si>
  <si>
    <r>
      <t>Employer(s) / Job Position Title(s)</t>
    </r>
    <r>
      <rPr>
        <sz val="7"/>
        <rFont val="Arial"/>
        <family val="2"/>
      </rPr>
      <t xml:space="preserve">
(During this row's time period)</t>
    </r>
  </si>
  <si>
    <t>Test for incorrect Start, End and Length Entries</t>
  </si>
  <si>
    <r>
      <t xml:space="preserve">CM Cycle Length
</t>
    </r>
    <r>
      <rPr>
        <sz val="7"/>
        <rFont val="Arial Narrow"/>
        <family val="2"/>
      </rPr>
      <t>(Req. to meet)</t>
    </r>
  </si>
  <si>
    <t>QC check for Number of claimed Hours</t>
  </si>
  <si>
    <r>
      <t xml:space="preserve">Start Date
</t>
    </r>
    <r>
      <rPr>
        <sz val="6"/>
        <rFont val="Arial"/>
        <family val="2"/>
      </rPr>
      <t>(mm/dd/yyyy)</t>
    </r>
  </si>
  <si>
    <r>
      <t xml:space="preserve">Stop Date
</t>
    </r>
    <r>
      <rPr>
        <sz val="6"/>
        <rFont val="Arial"/>
        <family val="2"/>
      </rPr>
      <t>(mm/dd/yyyy)</t>
    </r>
  </si>
  <si>
    <r>
      <t xml:space="preserve">Publication Date
</t>
    </r>
    <r>
      <rPr>
        <sz val="6"/>
        <rFont val="Arial"/>
        <family val="2"/>
      </rPr>
      <t>(mm/dd/yyyy)</t>
    </r>
  </si>
  <si>
    <r>
      <t xml:space="preserve">Completion Date 
</t>
    </r>
    <r>
      <rPr>
        <sz val="6"/>
        <rFont val="Arial"/>
        <family val="2"/>
      </rPr>
      <t>(mm/dd/yyyy)</t>
    </r>
  </si>
  <si>
    <r>
      <t xml:space="preserve"> Completion Date
</t>
    </r>
    <r>
      <rPr>
        <sz val="6"/>
        <rFont val="Arial"/>
        <family val="2"/>
      </rPr>
      <t>(mm/dd/yyyy)</t>
    </r>
  </si>
  <si>
    <r>
      <t xml:space="preserve">Completion Date
</t>
    </r>
    <r>
      <rPr>
        <sz val="6"/>
        <rFont val="Arial"/>
        <family val="2"/>
      </rPr>
      <t>(mm/dd/yyyy)</t>
    </r>
  </si>
  <si>
    <t>Teach/Present - Live</t>
  </si>
  <si>
    <t>Teach/Present - Asynchronous event</t>
  </si>
  <si>
    <r>
      <t xml:space="preserve">Activity 
</t>
    </r>
    <r>
      <rPr>
        <sz val="6"/>
        <rFont val="Arial"/>
        <family val="2"/>
      </rPr>
      <t>(choose from cell pick list)</t>
    </r>
  </si>
  <si>
    <t>AIHce Check</t>
  </si>
  <si>
    <t>Hours check</t>
  </si>
  <si>
    <t>Check for AIHce attendance and 36 hours</t>
  </si>
  <si>
    <t>Check for 2011</t>
  </si>
  <si>
    <t>check for first Aid/CPR</t>
  </si>
  <si>
    <r>
      <rPr>
        <vertAlign val="superscript"/>
        <sz val="9"/>
        <rFont val="Arial Narrow"/>
        <family val="2"/>
      </rPr>
      <t>2</t>
    </r>
    <r>
      <rPr>
        <sz val="9"/>
        <rFont val="Arial Narrow"/>
        <family val="2"/>
      </rPr>
      <t xml:space="preserve"> Your Cycle End Date and Contact Information can be reviewed at </t>
    </r>
    <r>
      <rPr>
        <i/>
        <sz val="9"/>
        <rFont val="Arial Narrow"/>
        <family val="2"/>
      </rPr>
      <t>My Account</t>
    </r>
    <r>
      <rPr>
        <sz val="9"/>
        <rFont val="Arial Narrow"/>
        <family val="2"/>
      </rPr>
      <t xml:space="preserve"> at: </t>
    </r>
  </si>
  <si>
    <t>First Aid/CPR Check</t>
  </si>
  <si>
    <t>Date</t>
  </si>
  <si>
    <t>Change</t>
  </si>
  <si>
    <t>By</t>
  </si>
  <si>
    <t>1) Added space to add Cat 7 pro bono organization's name; 2) Added Revision Log</t>
  </si>
  <si>
    <t>Parsons</t>
  </si>
  <si>
    <t xml:space="preserve">Updated grammar on front page to say CM cycles ending in 2015 and "in 2016 or thereafter" </t>
  </si>
  <si>
    <t>Added a clarifying note that the area to the right side of the form should not be used by the Diplomate</t>
  </si>
  <si>
    <t>Created two Excel version of the CMW: 1) for cycles that end before 2016 (inc both hours and points in Cat 4) and 2) for cycles that end after 2015 (hours only in Cat 4)</t>
  </si>
  <si>
    <t>Added Start/Stop dates to most categories; Adding QA/QC to verify that activity dates fell within the cycle; added QA/QC check on Category 4 hours and points based on start/completion dates; added recertification requirements for LOA of 1 year and 2 years; added max CM credit warning message for AIHce</t>
  </si>
  <si>
    <t>Updated Category 1, final row to ensure that Extensions were properly displayed</t>
  </si>
  <si>
    <t>Added Exam Item Validator as a Cat 7 pick list item</t>
  </si>
  <si>
    <t>Modified Cat 1 to use % IH Practice as a means of calculating CM points, modified Cat 5 to use a pick list approach</t>
  </si>
  <si>
    <t>converted  the merged entry cells to single entry cells in order to make it easier to cut and paste into the Excel version of the CMW,</t>
  </si>
  <si>
    <t>Updated the IH Ethics warning to display a note when the Maximum points had been achieved</t>
  </si>
  <si>
    <t>On the Instructions tab, added an URL to the new video on "adding rows"</t>
  </si>
  <si>
    <t>Removed some rows for Section 4A; Added some rows to 4B</t>
  </si>
  <si>
    <t>Updated the instructions for adding rows to improve the Fill Down method</t>
  </si>
  <si>
    <t>Corrected a formula issue in Cat 5, live teaching. The last 3 rows were being excluded from the calc for live teaching.</t>
  </si>
  <si>
    <t>Added a new tab for CM Category assigned to the various topics. Added warning messages for CMW Due Dates. Added warning messages for Cat 4 events &lt; 1 hour if IH or Safety.</t>
  </si>
  <si>
    <t>Added clarification to Diplomate Calc section of Cat 4 that any event without an approval number can be added to this section, regardless of date take</t>
  </si>
  <si>
    <t>Added alert messages for the minimum requirements when they were achieved or not. Updated the math to allow CIHs on a cycle extension to claim the extra 6 months of time in Category 1. Previously, they were capped at the stated values of 10 for CAIHs and 15 for CIHs. Eliminated Management option from Cat 4, corrected a Vector Array misalignment for Cat 7</t>
  </si>
  <si>
    <t xml:space="preserve">Adjusted the PDF and Excel version to better show account for hours to points in Category 4. Added logic formulas for Cat 2, 3 5 and 7 to prescript the CM point values based on the input parameters. Updated the "declaration" statement to align with the ANSI requirements. </t>
  </si>
  <si>
    <t>Added a Cycle start date of July 2013 which was missing from the original pick list</t>
  </si>
  <si>
    <t>Updated the total and IH points display logic to include all recertification scenarios for 1) CAIHs, and 2) CIHs on a 1 yearl LOA</t>
  </si>
  <si>
    <t>7/1/7/15</t>
  </si>
  <si>
    <t xml:space="preserve">1) Updated the Cat 7 formula for Professional Certifications, requiring that the dates be entered before the spreadsheet determines the point values. 
2) Modified the date format fields to a fixed format, preventing the user's computer settings to override the format. </t>
  </si>
  <si>
    <t>Using this Workbook</t>
  </si>
  <si>
    <t>Added instructions and tips for each category; removed the password</t>
  </si>
  <si>
    <t xml:space="preserve">Do not claim the same course twice during a CM cycle. This usually happens with regulatory refresher courses. </t>
  </si>
  <si>
    <t xml:space="preserve">When You see . . . </t>
  </si>
  <si>
    <r>
      <rPr>
        <b/>
        <sz val="11"/>
        <rFont val="Arial"/>
        <family val="2"/>
      </rPr>
      <t>NOTE:</t>
    </r>
    <r>
      <rPr>
        <sz val="11"/>
        <rFont val="Arial"/>
        <family val="2"/>
      </rPr>
      <t xml:space="preserve"> If you enter information with a copy/paste technique, use a right-click to paste as "values" or unformatted text to retain the correct formatting. </t>
    </r>
  </si>
  <si>
    <t>This color, the cell is locked, i.e. no entry allowed</t>
  </si>
  <si>
    <t xml:space="preserve">Change CMW protection rights to allow digital signatures of jpg, png or tiff images to be inserted in the locked CMW </t>
  </si>
  <si>
    <r>
      <rPr>
        <vertAlign val="superscript"/>
        <sz val="7"/>
        <color rgb="FF0000FF"/>
        <rFont val="Arial"/>
        <family val="2"/>
      </rPr>
      <t>a</t>
    </r>
    <r>
      <rPr>
        <sz val="7"/>
        <color rgb="FF0000FF"/>
        <rFont val="Arial"/>
        <family val="2"/>
      </rPr>
      <t xml:space="preserve"> For courses, use Sponsor-provided time or calculate from the agenda. For conferences, use time spent in technical sessions (or estimate it at 3 hrs/half day of attendance).</t>
    </r>
  </si>
  <si>
    <t xml:space="preserve">Red font text, it's an alert message. </t>
  </si>
  <si>
    <t xml:space="preserve">Pick List cells have a red triangle in the upper right corner. Hover your cursor in the cell, try it now. </t>
  </si>
  <si>
    <t xml:space="preserve">This indicates point caps, special conditions and common errors. </t>
  </si>
  <si>
    <t xml:space="preserve">This color, it's for input as free text or via a Pick List. </t>
  </si>
  <si>
    <t>If submitting your CMW via email, paste in your digital signature OR include a separate signed scan of the last page.</t>
  </si>
  <si>
    <t>Reworked formats on cells with calendar dates to TRY to achieve better performance with CA and AU CIHs</t>
  </si>
  <si>
    <t>Updated cell protection to allow digital jpb pasting in signature clel</t>
  </si>
  <si>
    <r>
      <rPr>
        <b/>
        <sz val="10"/>
        <color rgb="FFFF0000"/>
        <rFont val="Arial"/>
        <family val="2"/>
      </rPr>
      <t xml:space="preserve">IMPORTANT - </t>
    </r>
    <r>
      <rPr>
        <sz val="10"/>
        <color rgb="FFFF0000"/>
        <rFont val="Arial"/>
        <family val="2"/>
      </rPr>
      <t xml:space="preserve">Add your Cycle information to the top portion of the CMW in order to initialize the calculations. </t>
    </r>
  </si>
  <si>
    <t xml:space="preserve">REMEMBER -  "Save" your work before closing the document. </t>
  </si>
  <si>
    <t>Added 20 rows to Cat 4</t>
  </si>
  <si>
    <t>Locked down coded formula cells in row 49-75 as some had previously been unlocked, causing occasional bad "REF" errors</t>
  </si>
  <si>
    <t xml:space="preserve">If you're not sure what CM area to use, use the link at G46 Finally, make sure you have records to support ALL entries on your CMW, not just those here in Category 4. If audited, you'll be asked to supply the records. </t>
  </si>
  <si>
    <t>Removed the 54month cycle option and added the new cycle dates, removed the expired cyled dates.</t>
  </si>
  <si>
    <t>Kobus</t>
  </si>
  <si>
    <t xml:space="preserve">Journal Name / Title of Paper, Book Name / Title of Chapter, or Link to 'Other Media' Publications (web blogs,videos, podcasts) </t>
  </si>
  <si>
    <t>Ethics</t>
  </si>
  <si>
    <t>Editor</t>
  </si>
  <si>
    <t>Reviewer</t>
  </si>
  <si>
    <t>CPPS CM Worksheet</t>
  </si>
  <si>
    <t>If your entries are accepted, you have met the BGC requirement for Total Points</t>
  </si>
  <si>
    <t>If your entries are accepted, you have met the BGC requirement for IH Points</t>
  </si>
  <si>
    <t>If your entries are accepted, you have met the BGC requirement for IH Ethics Points</t>
  </si>
  <si>
    <t xml:space="preserve">If you have run out of room, contact BGC to add more rows. </t>
  </si>
  <si>
    <t>Use this section for events completed in 2011 AND when the BGC-awarded point value is known</t>
  </si>
  <si>
    <t>If you are consultant, see the BGC Web site "CM Category 5" for additional guidance on when your teaching can be claimed</t>
  </si>
  <si>
    <t xml:space="preserve">I understand that if recertified, my new certificate will be mailed to the postal address on record with BGC. </t>
  </si>
  <si>
    <t>Chair or Vice Chair</t>
  </si>
  <si>
    <t>President or Vice President</t>
  </si>
  <si>
    <t>R&amp;D Officer</t>
  </si>
  <si>
    <t>Director, Board or Committee Member (Not an Officer)</t>
  </si>
  <si>
    <t>Past Chair/President (currently in office)</t>
  </si>
  <si>
    <r>
      <t xml:space="preserve">Category 3: Publication of </t>
    </r>
    <r>
      <rPr>
        <b/>
        <sz val="10"/>
        <rFont val="Arial"/>
        <family val="2"/>
      </rPr>
      <t>Product Stewardship</t>
    </r>
    <r>
      <rPr>
        <b/>
        <sz val="10"/>
        <rFont val="Arial"/>
        <family val="2"/>
      </rPr>
      <t xml:space="preserve"> Papers</t>
    </r>
  </si>
  <si>
    <t>Category 2:  Product Stewardship Technical or Professional Committee Service</t>
  </si>
  <si>
    <t>For help with "%" PS, see Cat 1 Calc</t>
  </si>
  <si>
    <t>The most common CMW error is incorrectly calculating an event's hours. For guidance, see the BGC web page "CM Credit For Educational Events"</t>
  </si>
  <si>
    <r>
      <t>General management courses are not</t>
    </r>
    <r>
      <rPr>
        <sz val="8"/>
        <rFont val="Arial"/>
        <family val="2"/>
      </rPr>
      <t xml:space="preserve"> eligible for CM credit</t>
    </r>
    <r>
      <rPr>
        <sz val="8"/>
        <rFont val="Arial"/>
        <family val="2"/>
      </rPr>
      <t>.  Management or leadership courses must be related to Product Stewardship practice.</t>
    </r>
  </si>
  <si>
    <t xml:space="preserve">Allowed Ethics training is broader than just professional behavior in Product Stewardship. See the Ethics section of the "CM FAQ" on the BGC web site for additional information. </t>
  </si>
  <si>
    <t>Management/Leadership</t>
  </si>
  <si>
    <t>Check for CM points with no dates</t>
  </si>
  <si>
    <t>Management/ Leadership</t>
  </si>
  <si>
    <t>&gt;15 Mint</t>
  </si>
  <si>
    <t>Category 5: Teaching or Presenting of Product Stewardship Information</t>
  </si>
  <si>
    <t>Live Analysis MAX 20</t>
  </si>
  <si>
    <t>ASYNCH MAX 20</t>
  </si>
  <si>
    <t>Session Arranger</t>
  </si>
  <si>
    <t>CPPS Exam Questions</t>
  </si>
  <si>
    <t>Pro Bono Activity</t>
  </si>
  <si>
    <t>Formal Mentoring</t>
  </si>
  <si>
    <t>Related Exams</t>
  </si>
  <si>
    <t/>
  </si>
  <si>
    <t>Minimums</t>
  </si>
  <si>
    <t>Raw Sum</t>
  </si>
  <si>
    <r>
      <rPr>
        <b/>
        <sz val="9"/>
        <rFont val="Arial"/>
        <family val="2"/>
      </rPr>
      <t>Questions</t>
    </r>
  </si>
  <si>
    <t>CPPS Exam Questions Accepted</t>
  </si>
  <si>
    <t>1 If leap year, 0 if not.</t>
  </si>
  <si>
    <t>Start</t>
  </si>
  <si>
    <r>
      <t xml:space="preserve">Activity - CPPS Questions Accepted Annually for Piloting
</t>
    </r>
    <r>
      <rPr>
        <sz val="6"/>
        <rFont val="Arial"/>
        <family val="2"/>
      </rPr>
      <t>(Contact Examiation Director for Documentation)</t>
    </r>
  </si>
  <si>
    <t>Session Arranger (Enter number arranged) ==&gt;</t>
  </si>
  <si>
    <t>Mentoring (Enter number of hours) ==&gt;</t>
  </si>
  <si>
    <t>Related Exams (Enter length in  hours) ==&gt;</t>
  </si>
  <si>
    <t>Pro bono work (Enter number of hours) ==&gt;</t>
  </si>
  <si>
    <t>Category 7: Other Approved Activities</t>
  </si>
  <si>
    <t>Category 7: Other Approved Activities - Submitting CPPS Exam Questions</t>
  </si>
  <si>
    <t>Category 1:  Active Product Stewardship Practice</t>
  </si>
  <si>
    <r>
      <t xml:space="preserve">% PS Practice 
for this time period
</t>
    </r>
    <r>
      <rPr>
        <sz val="7"/>
        <rFont val="Arial"/>
        <family val="2"/>
      </rPr>
      <t>(e.g. enter 50% practice as "50")</t>
    </r>
  </si>
  <si>
    <t>CPPS</t>
  </si>
  <si>
    <t>If you had multiple employers during a year, enter all the employers for that year in a single row (example below). Use the Cat 1 Pt Calc to determine your "% Produc Stewardship practice" for that year.</t>
  </si>
  <si>
    <t>Think of it as your 12 month Time Weighted Average for % PS practice.
1) Employer 1 / Job Position 1 (3 months, 100% PS)
2) Employer 2 / Job Position 2 (9 months, 20% PS)</t>
  </si>
  <si>
    <r>
      <rPr>
        <b/>
        <sz val="12"/>
        <color rgb="FFFF0000"/>
        <rFont val="Arial"/>
        <family val="2"/>
      </rPr>
      <t>CPPS</t>
    </r>
    <r>
      <rPr>
        <b/>
        <sz val="12"/>
        <color indexed="8"/>
        <rFont val="Arial"/>
        <family val="2"/>
      </rPr>
      <t xml:space="preserve"> - Use the Category 1 CM Point Calculator to determine % PS practice when working up to 3 Positions during a 12 month period</t>
    </r>
  </si>
  <si>
    <r>
      <t xml:space="preserve">No. Months in the Role? 
</t>
    </r>
    <r>
      <rPr>
        <sz val="7"/>
        <rFont val="Arial"/>
        <family val="2"/>
      </rPr>
      <t>(During This Cycle)</t>
    </r>
  </si>
  <si>
    <r>
      <t xml:space="preserve">Number
</t>
    </r>
    <r>
      <rPr>
        <sz val="6"/>
        <rFont val="Arial"/>
        <family val="2"/>
      </rPr>
      <t>(see activity)</t>
    </r>
  </si>
  <si>
    <t>Cat 4 (PS Education) Points</t>
  </si>
  <si>
    <t xml:space="preserve"> Cat 4 Ethics Points</t>
  </si>
  <si>
    <r>
      <t>Enter % of Job Position 1 that is</t>
    </r>
    <r>
      <rPr>
        <sz val="10"/>
        <rFont val="Arial"/>
        <family val="2"/>
      </rPr>
      <t xml:space="preserve"> Product Stewardship</t>
    </r>
  </si>
  <si>
    <r>
      <t xml:space="preserve">Enter % of JP#2 that is </t>
    </r>
    <r>
      <rPr>
        <sz val="10"/>
        <rFont val="Arial"/>
        <family val="2"/>
      </rPr>
      <t>Product Stewardship</t>
    </r>
  </si>
  <si>
    <r>
      <t xml:space="preserve">Enter % of JP#3 that is </t>
    </r>
    <r>
      <rPr>
        <sz val="10"/>
        <rFont val="Arial"/>
        <family val="2"/>
      </rPr>
      <t>Product Stewardship</t>
    </r>
  </si>
  <si>
    <t>CPPS - Ext, 60M</t>
  </si>
  <si>
    <t>CPPS - 54M</t>
  </si>
  <si>
    <t>CPPS - 60M</t>
  </si>
  <si>
    <t>CPPS or CIH/IEQ</t>
  </si>
  <si>
    <t xml:space="preserve">You still need at least </t>
  </si>
  <si>
    <t>PS Pts to recertify</t>
  </si>
  <si>
    <r>
      <t xml:space="preserve">Have you verified the accuracy of your postal mailing address on file with BGC? </t>
    </r>
    <r>
      <rPr>
        <b/>
        <vertAlign val="superscript"/>
        <sz val="8"/>
        <rFont val="Arial Narrow"/>
        <family val="2"/>
      </rPr>
      <t>2</t>
    </r>
  </si>
  <si>
    <t>Note:  R2 contains the number of points they change with LOA</t>
  </si>
  <si>
    <r>
      <t xml:space="preserve">CAIH </t>
    </r>
    <r>
      <rPr>
        <sz val="8"/>
        <color theme="0" tint="-0.14999847407452621"/>
        <rFont val="Arial"/>
        <family val="2"/>
      </rPr>
      <t>- Ext, 54M</t>
    </r>
  </si>
  <si>
    <r>
      <t xml:space="preserve">CPPS </t>
    </r>
    <r>
      <rPr>
        <sz val="8"/>
        <color theme="0" tint="-0.14999847407452621"/>
        <rFont val="Arial"/>
        <family val="2"/>
      </rPr>
      <t>- Ext, 54M</t>
    </r>
  </si>
  <si>
    <r>
      <t xml:space="preserve">CIHwIEQ </t>
    </r>
    <r>
      <rPr>
        <sz val="8"/>
        <color theme="0" tint="-0.14999847407452621"/>
        <rFont val="Arial"/>
        <family val="2"/>
      </rPr>
      <t>- Ext, 54M</t>
    </r>
  </si>
  <si>
    <r>
      <t>Any number 1-100; EX- a third of job responsibilities are</t>
    </r>
    <r>
      <rPr>
        <sz val="10"/>
        <rFont val="Arial"/>
        <family val="2"/>
      </rPr>
      <t xml:space="preserve"> PS</t>
    </r>
    <r>
      <rPr>
        <sz val="10"/>
        <rFont val="Arial"/>
        <family val="2"/>
      </rPr>
      <t xml:space="preserve"> = 33; 100%</t>
    </r>
    <r>
      <rPr>
        <sz val="10"/>
        <rFont val="Arial"/>
        <family val="2"/>
      </rPr>
      <t xml:space="preserve"> PS</t>
    </r>
    <r>
      <rPr>
        <sz val="10"/>
        <rFont val="Arial"/>
        <family val="2"/>
      </rPr>
      <t xml:space="preserve"> job responsibilities = 100</t>
    </r>
  </si>
  <si>
    <t>Chung</t>
  </si>
  <si>
    <t>Updated the CMW for the CPPS point system</t>
  </si>
  <si>
    <r>
      <t>Active Practice</t>
    </r>
    <r>
      <rPr>
        <sz val="10"/>
        <rFont val="Arial"/>
        <family val="2"/>
      </rPr>
      <t xml:space="preserve">      </t>
    </r>
  </si>
  <si>
    <t xml:space="preserve">           </t>
  </si>
  <si>
    <r>
      <t xml:space="preserve">I practiced </t>
    </r>
    <r>
      <rPr>
        <sz val="10"/>
        <rFont val="Arial"/>
        <family val="2"/>
      </rPr>
      <t>PS</t>
    </r>
    <r>
      <rPr>
        <sz val="10"/>
        <rFont val="Arial"/>
        <family val="2"/>
      </rPr>
      <t xml:space="preserve"> &gt;20% of my time</t>
    </r>
  </si>
  <si>
    <t>0% PS</t>
  </si>
  <si>
    <t>Exam Item Reviewer/Job Analysis Panelist (Enter number of half days) ==&gt;</t>
  </si>
  <si>
    <t>Calculate Points</t>
  </si>
  <si>
    <t>Category 2 Point Per Month</t>
  </si>
  <si>
    <t>Chair/President</t>
  </si>
  <si>
    <t>Memebr/Officer</t>
  </si>
  <si>
    <t>James</t>
  </si>
  <si>
    <t>CM Cycle Points Max 5
For each month of Chair or President of a PS related member organization allocate 0.0833 points  
For each month of Committee Member or elected officer of a PS-related member organization allocate 0.0416 points. 
The general Management should say Maximum reached (5 points)
Nat/Int Conf live Presentation over 20 minutes should provide 1 point to presenters
Nat/Int Conf Live Presention will award 0.5 point non-presenting co-other
Nat/Int Conf Static Display will award 0.5 point 
Non Nat/Int presentation over 20 minutes awarded 0.33 points / hour. 
"Pro-bono activity	1 point per 40 hrs.	None"
"Submitting acceptable CPPS Exam questions	1 point per 5 questions	5 points per year"</t>
  </si>
  <si>
    <t>http://www.gobgc.org/maintain-certification/minimum-requirements</t>
  </si>
  <si>
    <t>http://portal.gobgc.org/members/roster/login.cfm</t>
  </si>
  <si>
    <t>http://www.gobgc.org/maintain-certification/active-practice</t>
  </si>
  <si>
    <t>http://www.gobgc.org/maintain-certification/committees</t>
  </si>
  <si>
    <t>http://www.gobgc.org/maintain-certification/publications</t>
  </si>
  <si>
    <t>http://www.gobgc.org/maintain-certification/education</t>
  </si>
  <si>
    <t>http://www.gobgc.org/maintain-certification/teaching-presenting</t>
  </si>
  <si>
    <t>http://www.gobgc.org/content/7-other</t>
  </si>
  <si>
    <t xml:space="preserve">Declaration: I attest that the statements made on this Worksheet are true and correct to the best of my knowledge, and that during the period covered by this worksheet I have not been made aware of any charges against me of unethical practice of product stewardship, nor have I been convicted of a felony.  To the best of my ability, I  agree to adhere to  the BGC Certification Maintenance program which includes the BGC Code of Ethics. I will report unethical behavior and if I am involved in an ethics case, I agree to be governed by the Ethics Case Procedures.  I agree that I will not use my certification in a manner that negatively impacts the certification mark or BGC, e.g. misleading or unauthorized claims. All relevant information pertinent to the CM program is published on the www.gobgc.org.  </t>
  </si>
  <si>
    <t>1) Email to cm@gobgc.org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</si>
</sst>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mmm\-yy;@"/>
    <numFmt numFmtId="166" formatCode="m/d/yy;@"/>
    <numFmt numFmtId="167" formatCode="m/d/yyyy;@"/>
  </numFmts>
  <fonts count="88" x14ac:knownFonts="1">
    <font>
      <sz val="10"/>
      <name val="Arial"/>
    </font>
    <font>
      <sz val="10"/>
      <name val="Arial"/>
      <family val="2"/>
    </font>
    <font>
      <b/>
      <sz val="8"/>
      <name val="Franklin Gothic Medium"/>
      <family val="2"/>
    </font>
    <font>
      <sz val="10"/>
      <name val="Times New Roman"/>
      <family val="1"/>
    </font>
    <font>
      <sz val="8"/>
      <name val="Arial"/>
      <family val="2"/>
    </font>
    <font>
      <b/>
      <sz val="10"/>
      <name val="Arial"/>
      <family val="2"/>
    </font>
    <font>
      <b/>
      <sz val="9"/>
      <name val="Arial"/>
      <family val="2"/>
    </font>
    <font>
      <u/>
      <sz val="10"/>
      <color indexed="12"/>
      <name val="Arial"/>
      <family val="2"/>
    </font>
    <font>
      <b/>
      <sz val="10"/>
      <name val="Arial"/>
      <family val="2"/>
    </font>
    <font>
      <sz val="9"/>
      <name val="Arial"/>
      <family val="2"/>
    </font>
    <font>
      <b/>
      <sz val="14"/>
      <name val="Arial"/>
      <family val="2"/>
    </font>
    <font>
      <b/>
      <sz val="8"/>
      <color indexed="81"/>
      <name val="Tahoma"/>
      <family val="2"/>
    </font>
    <font>
      <sz val="10"/>
      <color indexed="8"/>
      <name val="Arial"/>
      <family val="2"/>
    </font>
    <font>
      <b/>
      <sz val="12"/>
      <color indexed="8"/>
      <name val="Arial"/>
      <family val="2"/>
    </font>
    <font>
      <sz val="12"/>
      <name val="Arial"/>
      <family val="2"/>
    </font>
    <font>
      <b/>
      <i/>
      <sz val="12"/>
      <name val="Arial"/>
      <family val="2"/>
    </font>
    <font>
      <b/>
      <sz val="12"/>
      <name val="Arial"/>
      <family val="2"/>
    </font>
    <font>
      <sz val="11"/>
      <name val="Arial"/>
      <family val="2"/>
    </font>
    <font>
      <b/>
      <i/>
      <sz val="9"/>
      <name val="Arial"/>
      <family val="2"/>
    </font>
    <font>
      <sz val="10"/>
      <name val="Arial"/>
      <family val="2"/>
    </font>
    <font>
      <sz val="8"/>
      <name val="Arial"/>
      <family val="2"/>
    </font>
    <font>
      <sz val="6"/>
      <name val="Arial"/>
      <family val="2"/>
    </font>
    <font>
      <b/>
      <sz val="8"/>
      <name val="Arial"/>
      <family val="2"/>
    </font>
    <font>
      <sz val="9"/>
      <name val="Arial Narrow"/>
      <family val="2"/>
    </font>
    <font>
      <b/>
      <sz val="8"/>
      <name val="Arial Narrow"/>
      <family val="2"/>
    </font>
    <font>
      <sz val="8"/>
      <name val="Arial Narrow"/>
      <family val="2"/>
    </font>
    <font>
      <b/>
      <sz val="11"/>
      <name val="Arial"/>
      <family val="2"/>
    </font>
    <font>
      <b/>
      <u/>
      <sz val="9"/>
      <name val="Arial"/>
      <family val="2"/>
    </font>
    <font>
      <u/>
      <sz val="8"/>
      <color indexed="12"/>
      <name val="Arial Narrow"/>
      <family val="2"/>
    </font>
    <font>
      <b/>
      <sz val="10"/>
      <name val="Arial Narrow"/>
      <family val="2"/>
    </font>
    <font>
      <u/>
      <sz val="10"/>
      <color indexed="12"/>
      <name val="Arial"/>
      <family val="2"/>
    </font>
    <font>
      <sz val="8"/>
      <color indexed="81"/>
      <name val="Tahoma"/>
      <family val="2"/>
    </font>
    <font>
      <b/>
      <vertAlign val="superscript"/>
      <sz val="8"/>
      <name val="Arial Narrow"/>
      <family val="2"/>
    </font>
    <font>
      <vertAlign val="superscript"/>
      <sz val="9"/>
      <name val="Arial Narrow"/>
      <family val="2"/>
    </font>
    <font>
      <b/>
      <sz val="9"/>
      <name val="Arial Narrow"/>
      <family val="2"/>
    </font>
    <font>
      <sz val="7"/>
      <name val="Arial"/>
      <family val="2"/>
    </font>
    <font>
      <b/>
      <sz val="8"/>
      <color indexed="10"/>
      <name val="Arial"/>
      <family val="2"/>
    </font>
    <font>
      <sz val="9"/>
      <color indexed="81"/>
      <name val="Tahoma"/>
      <family val="2"/>
    </font>
    <font>
      <b/>
      <sz val="9"/>
      <color indexed="81"/>
      <name val="Tahoma"/>
      <family val="2"/>
    </font>
    <font>
      <sz val="8"/>
      <color indexed="12"/>
      <name val="Arial"/>
      <family val="2"/>
    </font>
    <font>
      <b/>
      <vertAlign val="superscript"/>
      <sz val="9"/>
      <color indexed="12"/>
      <name val="Arial"/>
      <family val="2"/>
    </font>
    <font>
      <b/>
      <vertAlign val="superscript"/>
      <sz val="9"/>
      <name val="Arial"/>
      <family val="2"/>
    </font>
    <font>
      <sz val="10"/>
      <color indexed="12"/>
      <name val="Arial"/>
      <family val="2"/>
    </font>
    <font>
      <b/>
      <sz val="22"/>
      <name val="Franklin Gothic Medium"/>
      <family val="2"/>
    </font>
    <font>
      <u/>
      <sz val="7"/>
      <color indexed="12"/>
      <name val="Arial"/>
      <family val="2"/>
    </font>
    <font>
      <i/>
      <u/>
      <sz val="16"/>
      <color indexed="12"/>
      <name val="Arial"/>
      <family val="2"/>
    </font>
    <font>
      <i/>
      <sz val="14"/>
      <color rgb="FF0000FF"/>
      <name val="Arial"/>
      <family val="2"/>
    </font>
    <font>
      <b/>
      <sz val="9"/>
      <color rgb="FF0066FF"/>
      <name val="Arial"/>
      <family val="2"/>
    </font>
    <font>
      <sz val="9"/>
      <color rgb="FFFF0000"/>
      <name val="Arial Narrow"/>
      <family val="2"/>
    </font>
    <font>
      <b/>
      <sz val="8"/>
      <color rgb="FF0066FF"/>
      <name val="Arial Narrow"/>
      <family val="2"/>
    </font>
    <font>
      <sz val="10"/>
      <color theme="0"/>
      <name val="Arial"/>
      <family val="2"/>
    </font>
    <font>
      <u/>
      <sz val="16"/>
      <color indexed="12"/>
      <name val="Arial"/>
      <family val="2"/>
    </font>
    <font>
      <i/>
      <u/>
      <sz val="8"/>
      <color indexed="12"/>
      <name val="Arial"/>
      <family val="2"/>
    </font>
    <font>
      <i/>
      <sz val="9"/>
      <name val="Arial Narrow"/>
      <family val="2"/>
    </font>
    <font>
      <b/>
      <sz val="10"/>
      <color indexed="12"/>
      <name val="Arial"/>
      <family val="2"/>
    </font>
    <font>
      <b/>
      <sz val="7"/>
      <color indexed="81"/>
      <name val="Tahoma"/>
      <family val="2"/>
    </font>
    <font>
      <i/>
      <sz val="10"/>
      <name val="Arial"/>
      <family val="2"/>
    </font>
    <font>
      <sz val="9"/>
      <color indexed="12"/>
      <name val="Arial"/>
      <family val="2"/>
    </font>
    <font>
      <i/>
      <sz val="12"/>
      <color indexed="12"/>
      <name val="Arial"/>
      <family val="2"/>
    </font>
    <font>
      <b/>
      <sz val="12"/>
      <color rgb="FFFF0000"/>
      <name val="Arial"/>
      <family val="2"/>
    </font>
    <font>
      <sz val="7"/>
      <name val="Arial Narrow"/>
      <family val="2"/>
    </font>
    <font>
      <sz val="9"/>
      <color theme="0"/>
      <name val="Arial"/>
      <family val="2"/>
    </font>
    <font>
      <u/>
      <sz val="8"/>
      <color indexed="12"/>
      <name val="Arial"/>
      <family val="2"/>
    </font>
    <font>
      <sz val="8"/>
      <color rgb="FFFF0000"/>
      <name val="Arial"/>
      <family val="2"/>
    </font>
    <font>
      <u/>
      <sz val="8"/>
      <name val="Arial"/>
      <family val="2"/>
    </font>
    <font>
      <b/>
      <sz val="14"/>
      <color theme="0"/>
      <name val="Arial"/>
      <family val="2"/>
    </font>
    <font>
      <sz val="8"/>
      <name val="Franklin Gothic Medium"/>
      <family val="2"/>
    </font>
    <font>
      <sz val="10"/>
      <color theme="0" tint="-0.14999847407452621"/>
      <name val="Arial"/>
      <family val="2"/>
    </font>
    <font>
      <b/>
      <sz val="10"/>
      <color theme="0" tint="-0.14999847407452621"/>
      <name val="Arial"/>
      <family val="2"/>
    </font>
    <font>
      <sz val="9"/>
      <color theme="0" tint="-0.14999847407452621"/>
      <name val="Arial"/>
      <family val="2"/>
    </font>
    <font>
      <b/>
      <sz val="8"/>
      <color theme="3"/>
      <name val="Arial"/>
      <family val="2"/>
    </font>
    <font>
      <b/>
      <sz val="22"/>
      <color theme="0"/>
      <name val="Arial"/>
      <family val="2"/>
    </font>
    <font>
      <i/>
      <sz val="14"/>
      <name val="Arial"/>
      <family val="2"/>
    </font>
    <font>
      <sz val="7"/>
      <color rgb="FF0000FF"/>
      <name val="Arial"/>
      <family val="2"/>
    </font>
    <font>
      <vertAlign val="superscript"/>
      <sz val="7"/>
      <color rgb="FF0000FF"/>
      <name val="Arial"/>
      <family val="2"/>
    </font>
    <font>
      <b/>
      <sz val="10"/>
      <color rgb="FFFF0000"/>
      <name val="Arial"/>
      <family val="2"/>
    </font>
    <font>
      <sz val="10"/>
      <color rgb="FFFF0000"/>
      <name val="Arial"/>
      <family val="2"/>
    </font>
    <font>
      <sz val="10"/>
      <name val="Calibri"/>
      <family val="2"/>
    </font>
    <font>
      <u/>
      <sz val="10"/>
      <color theme="11"/>
      <name val="Arial"/>
      <family val="2"/>
    </font>
    <font>
      <sz val="7"/>
      <color theme="0" tint="-0.14999847407452621"/>
      <name val="Arial"/>
      <family val="2"/>
    </font>
    <font>
      <u/>
      <sz val="8"/>
      <color theme="0" tint="-0.14999847407452621"/>
      <name val="Arial"/>
      <family val="2"/>
    </font>
    <font>
      <sz val="8"/>
      <color theme="0" tint="-0.14999847407452621"/>
      <name val="Arial"/>
      <family val="2"/>
    </font>
    <font>
      <b/>
      <sz val="8"/>
      <color theme="0" tint="-0.14999847407452621"/>
      <name val="Arial"/>
      <family val="2"/>
    </font>
    <font>
      <b/>
      <u/>
      <sz val="8"/>
      <color theme="0" tint="-0.14999847407452621"/>
      <name val="Arial"/>
      <family val="2"/>
    </font>
    <font>
      <sz val="9"/>
      <color theme="0" tint="-0.14999847407452621"/>
      <name val="Arial Narrow"/>
      <family val="2"/>
    </font>
    <font>
      <sz val="8"/>
      <color theme="0" tint="-0.14999847407452621"/>
      <name val="Arial Narrow"/>
      <family val="2"/>
    </font>
    <font>
      <b/>
      <sz val="7"/>
      <color theme="0" tint="-0.14999847407452621"/>
      <name val="Arial"/>
      <family val="2"/>
    </font>
    <font>
      <sz val="6"/>
      <color theme="0" tint="-0.14999847407452621"/>
      <name val="Arial"/>
      <family val="2"/>
    </font>
  </fonts>
  <fills count="2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theme="0" tint="-0.14999847407452621"/>
        <bgColor indexed="64"/>
      </patternFill>
    </fill>
    <fill>
      <patternFill patternType="solid">
        <fgColor theme="0" tint="-0.14999847407452621"/>
        <bgColor indexed="8"/>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3"/>
        <bgColor indexed="64"/>
      </patternFill>
    </fill>
    <fill>
      <patternFill patternType="solid">
        <fgColor theme="1"/>
        <bgColor indexed="64"/>
      </patternFill>
    </fill>
    <fill>
      <patternFill patternType="solid">
        <fgColor indexed="9"/>
        <bgColor indexed="64"/>
      </patternFill>
    </fill>
    <fill>
      <patternFill patternType="solid">
        <fgColor rgb="FFFAFFB0"/>
        <bgColor indexed="64"/>
      </patternFill>
    </fill>
    <fill>
      <patternFill patternType="solid">
        <fgColor rgb="FFCCFFCC"/>
        <bgColor indexed="64"/>
      </patternFill>
    </fill>
    <fill>
      <patternFill patternType="solid">
        <fgColor rgb="FFD9D9D9"/>
        <bgColor rgb="FF000000"/>
      </patternFill>
    </fill>
    <fill>
      <patternFill patternType="solid">
        <fgColor rgb="FFD9D9D9"/>
        <bgColor indexed="64"/>
      </patternFill>
    </fill>
    <fill>
      <patternFill patternType="solid">
        <fgColor rgb="FFFFFFCC"/>
        <bgColor indexed="26"/>
      </patternFill>
    </fill>
    <fill>
      <patternFill patternType="solid">
        <fgColor theme="0" tint="-0.14999847407452621"/>
        <bgColor rgb="FF000000"/>
      </patternFill>
    </fill>
  </fills>
  <borders count="64">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thin">
        <color auto="1"/>
      </left>
      <right style="medium">
        <color auto="1"/>
      </right>
      <top style="thin">
        <color auto="1"/>
      </top>
      <bottom style="medium">
        <color auto="1"/>
      </bottom>
      <diagonal/>
    </border>
    <border>
      <left style="medium">
        <color indexed="8"/>
      </left>
      <right/>
      <top style="medium">
        <color indexed="8"/>
      </top>
      <bottom/>
      <diagonal/>
    </border>
    <border>
      <left/>
      <right/>
      <top style="medium">
        <color indexed="8"/>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uble">
        <color auto="1"/>
      </top>
      <bottom/>
      <diagonal/>
    </border>
    <border>
      <left/>
      <right/>
      <top style="double">
        <color auto="1"/>
      </top>
      <bottom/>
      <diagonal/>
    </border>
    <border>
      <left/>
      <right style="medium">
        <color auto="1"/>
      </right>
      <top style="double">
        <color auto="1"/>
      </top>
      <bottom/>
      <diagonal/>
    </border>
    <border>
      <left style="medium">
        <color auto="1"/>
      </left>
      <right/>
      <top style="medium">
        <color auto="1"/>
      </top>
      <bottom style="medium">
        <color auto="1"/>
      </bottom>
      <diagonal/>
    </border>
    <border>
      <left/>
      <right/>
      <top style="medium">
        <color auto="1"/>
      </top>
      <bottom style="thin">
        <color auto="1"/>
      </bottom>
      <diagonal/>
    </border>
    <border>
      <left style="medium">
        <color auto="1"/>
      </left>
      <right style="thin">
        <color auto="1"/>
      </right>
      <top style="thin">
        <color auto="1"/>
      </top>
      <bottom/>
      <diagonal/>
    </border>
    <border>
      <left/>
      <right style="thin">
        <color auto="1"/>
      </right>
      <top style="medium">
        <color auto="1"/>
      </top>
      <bottom/>
      <diagonal/>
    </border>
    <border>
      <left/>
      <right style="medium">
        <color auto="1"/>
      </right>
      <top/>
      <bottom style="thin">
        <color auto="1"/>
      </bottom>
      <diagonal/>
    </border>
    <border>
      <left style="medium">
        <color auto="1"/>
      </left>
      <right style="thin">
        <color auto="1"/>
      </right>
      <top/>
      <bottom/>
      <diagonal/>
    </border>
    <border>
      <left style="thin">
        <color auto="1"/>
      </left>
      <right style="medium">
        <color auto="1"/>
      </right>
      <top style="thin">
        <color auto="1"/>
      </top>
      <bottom/>
      <diagonal/>
    </border>
  </borders>
  <cellStyleXfs count="39">
    <xf numFmtId="0" fontId="0" fillId="0" borderId="0"/>
    <xf numFmtId="0" fontId="7"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9" fillId="0" borderId="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cellStyleXfs>
  <cellXfs count="450">
    <xf numFmtId="0" fontId="0" fillId="0" borderId="0" xfId="0"/>
    <xf numFmtId="0" fontId="0" fillId="0" borderId="0" xfId="0" applyAlignment="1">
      <alignment vertical="center"/>
    </xf>
    <xf numFmtId="0" fontId="19" fillId="0" borderId="0" xfId="0" applyFont="1"/>
    <xf numFmtId="0" fontId="0" fillId="0" borderId="2" xfId="0" applyBorder="1"/>
    <xf numFmtId="0" fontId="0" fillId="0" borderId="3" xfId="0" applyBorder="1"/>
    <xf numFmtId="0" fontId="0" fillId="0" borderId="2" xfId="0" applyBorder="1" applyAlignment="1">
      <alignment vertical="center"/>
    </xf>
    <xf numFmtId="0" fontId="0" fillId="0" borderId="0" xfId="0" applyProtection="1">
      <protection locked="0"/>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3" fillId="2" borderId="10" xfId="0" applyFont="1" applyFill="1" applyBorder="1" applyAlignment="1" applyProtection="1">
      <alignment horizontal="left"/>
      <protection locked="0"/>
    </xf>
    <xf numFmtId="0" fontId="0" fillId="2" borderId="11" xfId="0" applyFill="1" applyBorder="1" applyProtection="1">
      <protection locked="0"/>
    </xf>
    <xf numFmtId="0" fontId="0" fillId="2" borderId="12" xfId="0" applyFill="1" applyBorder="1" applyProtection="1">
      <protection locked="0"/>
    </xf>
    <xf numFmtId="0" fontId="9" fillId="0" borderId="0" xfId="0" applyFont="1" applyProtection="1">
      <protection locked="0"/>
    </xf>
    <xf numFmtId="0" fontId="9" fillId="0" borderId="0" xfId="0" applyFont="1" applyAlignment="1" applyProtection="1">
      <alignment vertical="center"/>
      <protection locked="0"/>
    </xf>
    <xf numFmtId="0" fontId="19" fillId="0" borderId="0" xfId="0" applyFont="1" applyProtection="1">
      <protection locked="0"/>
    </xf>
    <xf numFmtId="0" fontId="0" fillId="0" borderId="0" xfId="0" applyAlignment="1" applyProtection="1">
      <alignment horizontal="left"/>
      <protection locked="0"/>
    </xf>
    <xf numFmtId="0" fontId="6" fillId="6" borderId="17"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5" fillId="5" borderId="7" xfId="0" applyFont="1" applyFill="1" applyBorder="1" applyAlignment="1">
      <alignment vertical="center"/>
    </xf>
    <xf numFmtId="0" fontId="18" fillId="5" borderId="7" xfId="0" applyFont="1" applyFill="1" applyBorder="1" applyAlignment="1">
      <alignment horizontal="right" vertical="center"/>
    </xf>
    <xf numFmtId="0" fontId="25" fillId="5" borderId="13" xfId="0" applyFont="1" applyFill="1" applyBorder="1" applyAlignment="1">
      <alignment horizontal="right" vertical="center"/>
    </xf>
    <xf numFmtId="0" fontId="28" fillId="5" borderId="0" xfId="1" applyFont="1" applyFill="1" applyBorder="1" applyAlignment="1" applyProtection="1">
      <alignment horizontal="left" vertical="center" indent="1"/>
    </xf>
    <xf numFmtId="0" fontId="5" fillId="5" borderId="0" xfId="0" applyFont="1" applyFill="1" applyAlignment="1">
      <alignment vertical="center"/>
    </xf>
    <xf numFmtId="0" fontId="0" fillId="0" borderId="0" xfId="0" applyAlignment="1">
      <alignment horizontal="center"/>
    </xf>
    <xf numFmtId="1" fontId="0" fillId="3" borderId="21" xfId="0" applyNumberFormat="1" applyFill="1" applyBorder="1" applyAlignment="1" applyProtection="1">
      <alignment horizontal="center" vertical="center"/>
      <protection locked="0"/>
    </xf>
    <xf numFmtId="0" fontId="0" fillId="0" borderId="3" xfId="0" applyBorder="1" applyAlignment="1" applyProtection="1">
      <alignment vertical="center"/>
      <protection locked="0"/>
    </xf>
    <xf numFmtId="0" fontId="0" fillId="3" borderId="21" xfId="0" applyFill="1" applyBorder="1" applyAlignment="1" applyProtection="1">
      <alignment horizontal="center" vertical="center"/>
      <protection locked="0"/>
    </xf>
    <xf numFmtId="0" fontId="14" fillId="0" borderId="15" xfId="0" applyFont="1" applyBorder="1" applyAlignment="1" applyProtection="1">
      <alignment horizontal="right" vertical="center"/>
      <protection locked="0"/>
    </xf>
    <xf numFmtId="0" fontId="0" fillId="0" borderId="19" xfId="0" applyBorder="1" applyAlignment="1" applyProtection="1">
      <alignment vertical="center"/>
      <protection locked="0"/>
    </xf>
    <xf numFmtId="0" fontId="0" fillId="5" borderId="0" xfId="0" applyFill="1"/>
    <xf numFmtId="0" fontId="0" fillId="5" borderId="8" xfId="0" applyFill="1" applyBorder="1"/>
    <xf numFmtId="0" fontId="0" fillId="5" borderId="11" xfId="0" applyFill="1" applyBorder="1"/>
    <xf numFmtId="0" fontId="0" fillId="5" borderId="12" xfId="0" applyFill="1" applyBorder="1"/>
    <xf numFmtId="0" fontId="5" fillId="0" borderId="0" xfId="0" applyFont="1" applyAlignment="1">
      <alignment vertical="top" wrapText="1"/>
    </xf>
    <xf numFmtId="0" fontId="0" fillId="0" borderId="0" xfId="0"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0" fillId="0" borderId="27" xfId="0" applyBorder="1" applyAlignment="1">
      <alignment vertical="top" wrapText="1"/>
    </xf>
    <xf numFmtId="0" fontId="0" fillId="0" borderId="28" xfId="0" applyBorder="1" applyAlignment="1">
      <alignment vertical="top" wrapText="1"/>
    </xf>
    <xf numFmtId="0" fontId="0" fillId="0" borderId="29" xfId="0"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0" fillId="0" borderId="25" xfId="0" applyBorder="1" applyAlignment="1">
      <alignment horizontal="center" vertical="top" wrapText="1"/>
    </xf>
    <xf numFmtId="0" fontId="0" fillId="0" borderId="30" xfId="0" applyBorder="1" applyAlignment="1">
      <alignment horizontal="center" vertical="top" wrapText="1"/>
    </xf>
    <xf numFmtId="0" fontId="0" fillId="0" borderId="27" xfId="0" applyBorder="1" applyAlignment="1">
      <alignment horizontal="center" vertical="top" wrapText="1"/>
    </xf>
    <xf numFmtId="0" fontId="7" fillId="0" borderId="27" xfId="1" quotePrefix="1" applyNumberFormat="1" applyBorder="1" applyAlignment="1" applyProtection="1">
      <alignment horizontal="center" vertical="top" wrapText="1"/>
    </xf>
    <xf numFmtId="0" fontId="0" fillId="0" borderId="31" xfId="0" applyBorder="1" applyAlignment="1">
      <alignment horizontal="center" vertical="top" wrapText="1"/>
    </xf>
    <xf numFmtId="0" fontId="0" fillId="0" borderId="29" xfId="0" applyBorder="1" applyAlignment="1">
      <alignment horizontal="center" vertical="top" wrapText="1"/>
    </xf>
    <xf numFmtId="0" fontId="0" fillId="0" borderId="32" xfId="0" applyBorder="1" applyAlignment="1">
      <alignment horizontal="center" vertical="top" wrapText="1"/>
    </xf>
    <xf numFmtId="165" fontId="0" fillId="0" borderId="0" xfId="0" quotePrefix="1" applyNumberFormat="1"/>
    <xf numFmtId="0" fontId="46" fillId="0" borderId="0" xfId="0" applyFont="1"/>
    <xf numFmtId="0" fontId="0" fillId="7" borderId="0" xfId="0" applyFill="1" applyAlignment="1" applyProtection="1">
      <alignment vertical="center"/>
      <protection locked="0"/>
    </xf>
    <xf numFmtId="0" fontId="0" fillId="0" borderId="0" xfId="0" applyAlignment="1" applyProtection="1">
      <alignment horizontal="center" vertical="center"/>
      <protection locked="0"/>
    </xf>
    <xf numFmtId="2" fontId="20" fillId="5" borderId="38" xfId="0" applyNumberFormat="1" applyFont="1" applyFill="1" applyBorder="1" applyAlignment="1">
      <alignment horizontal="center" vertical="center" wrapText="1"/>
    </xf>
    <xf numFmtId="0" fontId="5" fillId="0" borderId="0" xfId="0" applyFont="1"/>
    <xf numFmtId="0" fontId="6" fillId="6" borderId="38" xfId="0" applyFont="1" applyFill="1" applyBorder="1" applyAlignment="1">
      <alignment horizontal="center" vertical="center" wrapText="1"/>
    </xf>
    <xf numFmtId="2" fontId="20" fillId="5" borderId="9" xfId="0" applyNumberFormat="1" applyFont="1" applyFill="1" applyBorder="1" applyAlignment="1">
      <alignment horizontal="center" vertical="center" wrapText="1"/>
    </xf>
    <xf numFmtId="164" fontId="0" fillId="0" borderId="0" xfId="0" applyNumberFormat="1" applyAlignment="1" applyProtection="1">
      <alignment horizontal="center" vertical="center"/>
      <protection locked="0"/>
    </xf>
    <xf numFmtId="0" fontId="4" fillId="4" borderId="21" xfId="0" applyFont="1" applyFill="1" applyBorder="1" applyAlignment="1" applyProtection="1">
      <alignment horizontal="center" vertical="center" wrapText="1"/>
      <protection locked="0"/>
    </xf>
    <xf numFmtId="0" fontId="5" fillId="5" borderId="0" xfId="0" applyFont="1" applyFill="1" applyAlignment="1" applyProtection="1">
      <alignment vertical="center"/>
      <protection locked="0"/>
    </xf>
    <xf numFmtId="0" fontId="18" fillId="5" borderId="0" xfId="0" applyFont="1" applyFill="1" applyAlignment="1" applyProtection="1">
      <alignment horizontal="right" vertical="center"/>
      <protection locked="0"/>
    </xf>
    <xf numFmtId="0" fontId="0" fillId="5" borderId="7" xfId="0" applyFill="1" applyBorder="1" applyAlignment="1">
      <alignment vertical="center"/>
    </xf>
    <xf numFmtId="0" fontId="6" fillId="5" borderId="9" xfId="0" applyFont="1" applyFill="1" applyBorder="1" applyAlignment="1">
      <alignment horizontal="center" vertical="center" wrapText="1"/>
    </xf>
    <xf numFmtId="0" fontId="5" fillId="5" borderId="6" xfId="0" applyFont="1" applyFill="1" applyBorder="1" applyAlignment="1">
      <alignment horizontal="left" vertical="center"/>
    </xf>
    <xf numFmtId="0" fontId="0" fillId="8" borderId="0" xfId="0" applyFill="1"/>
    <xf numFmtId="0" fontId="47" fillId="5" borderId="21" xfId="0" applyFont="1" applyFill="1" applyBorder="1" applyAlignment="1">
      <alignment horizontal="center" vertical="center" wrapText="1"/>
    </xf>
    <xf numFmtId="0" fontId="18" fillId="5" borderId="7" xfId="0" applyFont="1" applyFill="1" applyBorder="1" applyAlignment="1">
      <alignment horizontal="right"/>
    </xf>
    <xf numFmtId="0" fontId="6" fillId="5" borderId="38"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0" fillId="0" borderId="0" xfId="0" applyAlignment="1">
      <alignment horizontal="center" vertical="center"/>
    </xf>
    <xf numFmtId="0" fontId="42" fillId="9" borderId="39" xfId="1" applyFont="1" applyFill="1" applyBorder="1" applyAlignment="1" applyProtection="1">
      <alignment horizontal="center" vertical="top"/>
    </xf>
    <xf numFmtId="0" fontId="16" fillId="5" borderId="6" xfId="0" applyFont="1" applyFill="1" applyBorder="1" applyAlignment="1">
      <alignment vertical="center"/>
    </xf>
    <xf numFmtId="0" fontId="0" fillId="5" borderId="7" xfId="0" applyFill="1" applyBorder="1" applyAlignment="1">
      <alignment horizontal="center" vertical="center"/>
    </xf>
    <xf numFmtId="0" fontId="0" fillId="5" borderId="22" xfId="0" applyFill="1" applyBorder="1" applyAlignment="1">
      <alignment vertical="center"/>
    </xf>
    <xf numFmtId="0" fontId="0" fillId="5" borderId="13" xfId="0" applyFill="1" applyBorder="1" applyAlignment="1">
      <alignment horizontal="center" vertical="center"/>
    </xf>
    <xf numFmtId="0" fontId="5" fillId="9" borderId="21" xfId="0" applyFont="1" applyFill="1" applyBorder="1" applyAlignment="1">
      <alignment horizontal="center" vertical="center"/>
    </xf>
    <xf numFmtId="0" fontId="0" fillId="5" borderId="0" xfId="0" applyFill="1" applyAlignment="1">
      <alignment horizontal="center" vertical="center"/>
    </xf>
    <xf numFmtId="0" fontId="0" fillId="5" borderId="8" xfId="0" applyFill="1" applyBorder="1" applyAlignment="1">
      <alignment vertical="center"/>
    </xf>
    <xf numFmtId="0" fontId="0" fillId="5" borderId="13" xfId="0" applyFill="1" applyBorder="1"/>
    <xf numFmtId="0" fontId="0" fillId="0" borderId="21" xfId="0" applyBorder="1"/>
    <xf numFmtId="0" fontId="19" fillId="0" borderId="21" xfId="0" applyFont="1" applyBorder="1" applyAlignment="1">
      <alignment horizontal="center"/>
    </xf>
    <xf numFmtId="0" fontId="19" fillId="0" borderId="21" xfId="0" applyFont="1" applyBorder="1"/>
    <xf numFmtId="0" fontId="0" fillId="5" borderId="10" xfId="0" applyFill="1" applyBorder="1"/>
    <xf numFmtId="0" fontId="24" fillId="5" borderId="6" xfId="0" applyFont="1" applyFill="1" applyBorder="1" applyAlignment="1">
      <alignment horizontal="right" vertical="center"/>
    </xf>
    <xf numFmtId="0" fontId="24" fillId="5" borderId="13" xfId="0" applyFont="1" applyFill="1" applyBorder="1" applyAlignment="1">
      <alignment horizontal="right" vertical="center"/>
    </xf>
    <xf numFmtId="166" fontId="0" fillId="0" borderId="0" xfId="0" quotePrefix="1" applyNumberFormat="1"/>
    <xf numFmtId="0" fontId="25" fillId="5" borderId="43" xfId="0" applyFont="1" applyFill="1" applyBorder="1" applyAlignment="1">
      <alignment horizontal="right" vertical="center"/>
    </xf>
    <xf numFmtId="0" fontId="28" fillId="5" borderId="1" xfId="1" applyFont="1" applyFill="1" applyBorder="1" applyAlignment="1" applyProtection="1">
      <alignment horizontal="left" vertical="center" indent="1"/>
    </xf>
    <xf numFmtId="164" fontId="6" fillId="5" borderId="44" xfId="0" quotePrefix="1" applyNumberFormat="1" applyFont="1" applyFill="1" applyBorder="1" applyAlignment="1">
      <alignment horizontal="center"/>
    </xf>
    <xf numFmtId="0" fontId="18" fillId="5" borderId="38" xfId="0" applyFont="1" applyFill="1" applyBorder="1" applyAlignment="1">
      <alignment horizontal="right" vertical="center"/>
    </xf>
    <xf numFmtId="164" fontId="6" fillId="5" borderId="44" xfId="0" applyNumberFormat="1" applyFont="1" applyFill="1" applyBorder="1" applyAlignment="1">
      <alignment horizontal="center"/>
    </xf>
    <xf numFmtId="2" fontId="6" fillId="5" borderId="42" xfId="0" applyNumberFormat="1" applyFont="1" applyFill="1" applyBorder="1" applyAlignment="1">
      <alignment horizontal="center" vertical="center"/>
    </xf>
    <xf numFmtId="2" fontId="6" fillId="5" borderId="9" xfId="0" applyNumberFormat="1" applyFont="1" applyFill="1" applyBorder="1" applyAlignment="1">
      <alignment horizontal="center" vertical="center"/>
    </xf>
    <xf numFmtId="0" fontId="4" fillId="4" borderId="34" xfId="0" applyFont="1" applyFill="1" applyBorder="1" applyAlignment="1" applyProtection="1">
      <alignment horizontal="left" vertical="center" wrapText="1"/>
      <protection locked="0"/>
    </xf>
    <xf numFmtId="2" fontId="4" fillId="4" borderId="9" xfId="0" applyNumberFormat="1" applyFont="1" applyFill="1" applyBorder="1" applyAlignment="1" applyProtection="1">
      <alignment horizontal="center" vertical="center" wrapText="1"/>
      <protection locked="0"/>
    </xf>
    <xf numFmtId="0" fontId="25" fillId="5" borderId="7" xfId="0" applyFont="1" applyFill="1" applyBorder="1" applyAlignment="1">
      <alignment horizontal="left" vertical="center" wrapText="1" indent="1"/>
    </xf>
    <xf numFmtId="0" fontId="4" fillId="4" borderId="21" xfId="0" applyFont="1" applyFill="1" applyBorder="1" applyAlignment="1" applyProtection="1">
      <alignment horizontal="left" vertical="center" wrapText="1"/>
      <protection locked="0"/>
    </xf>
    <xf numFmtId="0" fontId="4" fillId="4" borderId="35" xfId="0" applyFont="1" applyFill="1" applyBorder="1" applyAlignment="1" applyProtection="1">
      <alignment horizontal="left" vertical="center" wrapText="1"/>
      <protection locked="0"/>
    </xf>
    <xf numFmtId="0" fontId="6" fillId="6" borderId="36"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5" fillId="0" borderId="7" xfId="0" applyFont="1" applyBorder="1" applyAlignment="1">
      <alignment horizontal="left" vertical="center" wrapText="1" indent="1"/>
    </xf>
    <xf numFmtId="0" fontId="6" fillId="6" borderId="21" xfId="0" applyFont="1" applyFill="1" applyBorder="1" applyAlignment="1">
      <alignment horizontal="center" vertical="center" wrapText="1"/>
    </xf>
    <xf numFmtId="0" fontId="4" fillId="10" borderId="46" xfId="0" applyFont="1" applyFill="1" applyBorder="1" applyAlignment="1" applyProtection="1">
      <alignment horizontal="left" vertical="center" wrapText="1"/>
      <protection locked="0"/>
    </xf>
    <xf numFmtId="0" fontId="24" fillId="5" borderId="21" xfId="0" applyFont="1" applyFill="1" applyBorder="1" applyAlignment="1">
      <alignment horizontal="right" vertical="center"/>
    </xf>
    <xf numFmtId="0" fontId="34" fillId="0" borderId="6" xfId="0" applyFont="1" applyBorder="1" applyAlignment="1">
      <alignment horizontal="left" vertical="center" indent="1"/>
    </xf>
    <xf numFmtId="0" fontId="48" fillId="5" borderId="11" xfId="0" applyFont="1" applyFill="1" applyBorder="1" applyAlignment="1">
      <alignment horizontal="left" vertical="center" wrapText="1" indent="1"/>
    </xf>
    <xf numFmtId="0" fontId="24" fillId="5" borderId="50" xfId="0" applyFont="1" applyFill="1" applyBorder="1" applyAlignment="1">
      <alignment horizontal="right" vertical="center"/>
    </xf>
    <xf numFmtId="0" fontId="24" fillId="5" borderId="20" xfId="0" applyFont="1" applyFill="1" applyBorder="1" applyAlignment="1">
      <alignment horizontal="right" vertical="center"/>
    </xf>
    <xf numFmtId="2" fontId="6" fillId="5" borderId="44" xfId="0" applyNumberFormat="1" applyFont="1" applyFill="1" applyBorder="1" applyAlignment="1">
      <alignment horizontal="center" vertical="center"/>
    </xf>
    <xf numFmtId="0" fontId="5" fillId="5" borderId="22" xfId="0" applyFont="1" applyFill="1" applyBorder="1" applyAlignment="1">
      <alignment vertical="center"/>
    </xf>
    <xf numFmtId="0" fontId="25" fillId="5" borderId="22" xfId="0" applyFont="1" applyFill="1" applyBorder="1" applyAlignment="1">
      <alignment horizontal="left" vertical="center" wrapText="1" indent="1"/>
    </xf>
    <xf numFmtId="0" fontId="6" fillId="5" borderId="50" xfId="0" applyFont="1" applyFill="1" applyBorder="1" applyAlignment="1">
      <alignment horizontal="center" vertical="center" wrapText="1"/>
    </xf>
    <xf numFmtId="0" fontId="23" fillId="5" borderId="21" xfId="0" quotePrefix="1" applyFont="1" applyFill="1" applyBorder="1" applyAlignment="1">
      <alignment horizontal="right" vertical="center"/>
    </xf>
    <xf numFmtId="0" fontId="6" fillId="5" borderId="48" xfId="0" applyFont="1" applyFill="1" applyBorder="1" applyAlignment="1">
      <alignment horizontal="right" vertical="center"/>
    </xf>
    <xf numFmtId="0" fontId="44" fillId="5" borderId="8" xfId="1" applyFont="1" applyFill="1" applyBorder="1" applyAlignment="1" applyProtection="1">
      <alignment horizontal="right" vertical="center"/>
    </xf>
    <xf numFmtId="0" fontId="23" fillId="5" borderId="13" xfId="0" applyFont="1" applyFill="1" applyBorder="1" applyAlignment="1">
      <alignment vertical="center"/>
    </xf>
    <xf numFmtId="0" fontId="28" fillId="0" borderId="22" xfId="1" applyFont="1" applyBorder="1" applyAlignment="1" applyProtection="1">
      <alignment horizontal="right" vertical="center"/>
    </xf>
    <xf numFmtId="0" fontId="45" fillId="0" borderId="0" xfId="1" applyFont="1" applyBorder="1" applyAlignment="1" applyProtection="1"/>
    <xf numFmtId="0" fontId="4" fillId="10" borderId="36" xfId="0" applyFont="1" applyFill="1" applyBorder="1" applyAlignment="1" applyProtection="1">
      <alignment horizontal="left" vertical="center" wrapText="1"/>
      <protection locked="0"/>
    </xf>
    <xf numFmtId="0" fontId="5" fillId="10" borderId="21" xfId="0" applyFont="1" applyFill="1" applyBorder="1" applyAlignment="1" applyProtection="1">
      <alignment horizontal="center" vertical="center" wrapText="1"/>
      <protection locked="0"/>
    </xf>
    <xf numFmtId="0" fontId="0" fillId="5" borderId="49" xfId="0" applyFill="1" applyBorder="1" applyAlignment="1">
      <alignment vertical="center"/>
    </xf>
    <xf numFmtId="0" fontId="0" fillId="5" borderId="41" xfId="0" applyFill="1" applyBorder="1" applyAlignment="1">
      <alignment vertical="center"/>
    </xf>
    <xf numFmtId="0" fontId="4" fillId="5" borderId="21"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6" fillId="5" borderId="20" xfId="0" applyFont="1" applyFill="1" applyBorder="1" applyAlignment="1">
      <alignment horizontal="center" vertical="center" wrapText="1"/>
    </xf>
    <xf numFmtId="0" fontId="51" fillId="0" borderId="0" xfId="1" applyFont="1" applyBorder="1" applyAlignment="1" applyProtection="1">
      <alignment horizontal="left"/>
    </xf>
    <xf numFmtId="0" fontId="0" fillId="0" borderId="0" xfId="0" applyAlignment="1">
      <alignment horizontal="left" vertical="center"/>
    </xf>
    <xf numFmtId="0" fontId="26" fillId="5" borderId="0" xfId="0" applyFont="1" applyFill="1"/>
    <xf numFmtId="0" fontId="26" fillId="5" borderId="0" xfId="0" applyFont="1" applyFill="1" applyAlignment="1">
      <alignment horizontal="right"/>
    </xf>
    <xf numFmtId="9" fontId="26" fillId="5" borderId="0" xfId="0" applyNumberFormat="1" applyFont="1" applyFill="1" applyAlignment="1">
      <alignment horizontal="center"/>
    </xf>
    <xf numFmtId="0" fontId="17" fillId="5" borderId="13" xfId="0" applyFont="1" applyFill="1" applyBorder="1"/>
    <xf numFmtId="0" fontId="4" fillId="5" borderId="34" xfId="0" applyFont="1" applyFill="1" applyBorder="1" applyAlignment="1">
      <alignment horizontal="left" vertical="center" wrapText="1"/>
    </xf>
    <xf numFmtId="0" fontId="19" fillId="5" borderId="20" xfId="0" applyFont="1" applyFill="1" applyBorder="1" applyAlignment="1">
      <alignment vertical="center"/>
    </xf>
    <xf numFmtId="0" fontId="0" fillId="11" borderId="0" xfId="0" applyFill="1" applyProtection="1">
      <protection locked="0"/>
    </xf>
    <xf numFmtId="0" fontId="12" fillId="11" borderId="0" xfId="0" applyFont="1" applyFill="1" applyAlignment="1" applyProtection="1">
      <alignment horizontal="left"/>
      <protection locked="0"/>
    </xf>
    <xf numFmtId="0" fontId="50" fillId="0" borderId="0" xfId="0" applyFont="1"/>
    <xf numFmtId="0" fontId="0" fillId="11" borderId="0" xfId="0" applyFill="1" applyAlignment="1">
      <alignment vertical="center"/>
    </xf>
    <xf numFmtId="0" fontId="12" fillId="11" borderId="0" xfId="0" applyFont="1" applyFill="1" applyAlignment="1">
      <alignment horizontal="left"/>
    </xf>
    <xf numFmtId="0" fontId="12" fillId="11" borderId="0" xfId="0" applyFont="1" applyFill="1" applyAlignment="1">
      <alignment wrapText="1"/>
    </xf>
    <xf numFmtId="0" fontId="0" fillId="11" borderId="0" xfId="0" applyFill="1"/>
    <xf numFmtId="0" fontId="0" fillId="0" borderId="18" xfId="0" applyBorder="1" applyAlignment="1">
      <alignment vertical="center"/>
    </xf>
    <xf numFmtId="0" fontId="0" fillId="0" borderId="15" xfId="0" applyBorder="1" applyAlignment="1">
      <alignment vertical="center"/>
    </xf>
    <xf numFmtId="0" fontId="15" fillId="0" borderId="15" xfId="0" applyFont="1" applyBorder="1" applyAlignment="1">
      <alignment horizontal="center" vertical="center"/>
    </xf>
    <xf numFmtId="0" fontId="26" fillId="0" borderId="15" xfId="0" applyFont="1" applyBorder="1" applyAlignment="1">
      <alignment horizontal="center" vertical="center"/>
    </xf>
    <xf numFmtId="0" fontId="16" fillId="0" borderId="2" xfId="0" applyFont="1" applyBorder="1" applyAlignment="1">
      <alignment horizontal="right" vertical="center"/>
    </xf>
    <xf numFmtId="0" fontId="1" fillId="0" borderId="0" xfId="0" applyFont="1" applyAlignment="1">
      <alignment horizontal="right"/>
    </xf>
    <xf numFmtId="0" fontId="16" fillId="0" borderId="2" xfId="0" applyFont="1"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17" fillId="0" borderId="15" xfId="0" applyFont="1" applyBorder="1" applyAlignment="1">
      <alignment horizontal="right" vertical="center"/>
    </xf>
    <xf numFmtId="0" fontId="19" fillId="0" borderId="1" xfId="0" applyFont="1" applyBorder="1" applyAlignment="1">
      <alignment horizontal="right" vertical="center"/>
    </xf>
    <xf numFmtId="0" fontId="56" fillId="0" borderId="0" xfId="0" applyFont="1"/>
    <xf numFmtId="0" fontId="19" fillId="7" borderId="0" xfId="0" applyFont="1" applyFill="1"/>
    <xf numFmtId="0" fontId="1" fillId="0" borderId="0" xfId="0" applyFont="1"/>
    <xf numFmtId="0" fontId="1" fillId="0" borderId="1" xfId="0" applyFont="1" applyBorder="1" applyAlignment="1" applyProtection="1">
      <alignment horizontal="right" vertical="center"/>
      <protection locked="0"/>
    </xf>
    <xf numFmtId="0" fontId="26" fillId="0" borderId="0" xfId="0" applyFont="1" applyAlignment="1">
      <alignment horizontal="center" vertical="center"/>
    </xf>
    <xf numFmtId="0" fontId="0" fillId="0" borderId="2" xfId="0" applyBorder="1" applyAlignment="1">
      <alignment horizontal="left" vertical="center"/>
    </xf>
    <xf numFmtId="0" fontId="23" fillId="5" borderId="0" xfId="0" applyFont="1" applyFill="1" applyAlignment="1">
      <alignment vertical="center"/>
    </xf>
    <xf numFmtId="0" fontId="34" fillId="0" borderId="7" xfId="0" applyFont="1" applyBorder="1" applyAlignment="1">
      <alignment horizontal="left" vertical="center" indent="1"/>
    </xf>
    <xf numFmtId="0" fontId="5" fillId="5" borderId="7" xfId="0" applyFont="1" applyFill="1" applyBorder="1" applyAlignment="1">
      <alignment horizontal="left" vertical="center"/>
    </xf>
    <xf numFmtId="0" fontId="25" fillId="5" borderId="0" xfId="0" applyFont="1" applyFill="1" applyAlignment="1">
      <alignment horizontal="right" vertical="center"/>
    </xf>
    <xf numFmtId="0" fontId="6" fillId="6" borderId="41" xfId="0" applyFont="1" applyFill="1" applyBorder="1" applyAlignment="1">
      <alignment horizontal="center" vertical="center" wrapText="1"/>
    </xf>
    <xf numFmtId="0" fontId="8" fillId="5" borderId="7" xfId="0" applyFont="1" applyFill="1" applyBorder="1" applyAlignment="1">
      <alignment horizontal="left" vertical="center"/>
    </xf>
    <xf numFmtId="0" fontId="6" fillId="5" borderId="19" xfId="0" applyFont="1" applyFill="1" applyBorder="1" applyAlignment="1">
      <alignment horizontal="center" vertical="center" wrapText="1"/>
    </xf>
    <xf numFmtId="0" fontId="29" fillId="5" borderId="7" xfId="0" applyFont="1" applyFill="1" applyBorder="1" applyAlignment="1">
      <alignment horizontal="left" vertical="center" indent="1"/>
    </xf>
    <xf numFmtId="0" fontId="6" fillId="5" borderId="41" xfId="0" applyFont="1" applyFill="1" applyBorder="1" applyAlignment="1">
      <alignment horizontal="center" vertical="center" wrapText="1"/>
    </xf>
    <xf numFmtId="0" fontId="25" fillId="5" borderId="1" xfId="0" applyFont="1" applyFill="1" applyBorder="1" applyAlignment="1">
      <alignment horizontal="right" vertical="center"/>
    </xf>
    <xf numFmtId="0" fontId="3" fillId="2" borderId="11" xfId="0" applyFont="1" applyFill="1" applyBorder="1" applyAlignment="1" applyProtection="1">
      <alignment horizontal="left"/>
      <protection locked="0"/>
    </xf>
    <xf numFmtId="0" fontId="0" fillId="5" borderId="43" xfId="0" applyFill="1" applyBorder="1" applyAlignment="1">
      <alignment vertical="center"/>
    </xf>
    <xf numFmtId="0" fontId="0" fillId="5" borderId="1" xfId="0" applyFill="1" applyBorder="1" applyAlignment="1">
      <alignment vertical="center"/>
    </xf>
    <xf numFmtId="0" fontId="24" fillId="5" borderId="3" xfId="0" applyFont="1" applyFill="1" applyBorder="1" applyAlignment="1">
      <alignment horizontal="right" vertical="center"/>
    </xf>
    <xf numFmtId="0" fontId="24" fillId="5" borderId="5" xfId="0" applyFont="1" applyFill="1" applyBorder="1" applyAlignment="1">
      <alignment horizontal="right" vertical="center"/>
    </xf>
    <xf numFmtId="0" fontId="24" fillId="5" borderId="60" xfId="0" applyFont="1" applyFill="1" applyBorder="1" applyAlignment="1">
      <alignment horizontal="right" vertical="center"/>
    </xf>
    <xf numFmtId="0" fontId="24" fillId="5" borderId="43" xfId="0" applyFont="1" applyFill="1" applyBorder="1" applyAlignment="1">
      <alignment horizontal="right" vertical="center"/>
    </xf>
    <xf numFmtId="0" fontId="23" fillId="5" borderId="10" xfId="0" applyFont="1" applyFill="1" applyBorder="1" applyAlignment="1">
      <alignment vertical="center"/>
    </xf>
    <xf numFmtId="0" fontId="23" fillId="5" borderId="11" xfId="0" applyFont="1" applyFill="1" applyBorder="1" applyAlignment="1">
      <alignment vertical="center"/>
    </xf>
    <xf numFmtId="0" fontId="44" fillId="5" borderId="12" xfId="1" applyFont="1" applyFill="1" applyBorder="1" applyAlignment="1" applyProtection="1">
      <alignment horizontal="right" vertical="center"/>
    </xf>
    <xf numFmtId="164" fontId="4" fillId="5" borderId="61" xfId="0" applyNumberFormat="1" applyFont="1" applyFill="1" applyBorder="1" applyAlignment="1">
      <alignment horizontal="center" vertical="center" wrapText="1"/>
    </xf>
    <xf numFmtId="0" fontId="6" fillId="6" borderId="59" xfId="0" applyFont="1" applyFill="1" applyBorder="1" applyAlignment="1">
      <alignment horizontal="center" vertical="center" wrapText="1"/>
    </xf>
    <xf numFmtId="0" fontId="6" fillId="6" borderId="62"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49" fillId="5" borderId="7" xfId="0" applyFont="1" applyFill="1" applyBorder="1" applyAlignment="1">
      <alignment horizontal="right" vertical="center" indent="1"/>
    </xf>
    <xf numFmtId="2" fontId="24" fillId="5" borderId="22" xfId="0" applyNumberFormat="1" applyFont="1" applyFill="1" applyBorder="1" applyAlignment="1">
      <alignment horizontal="center" vertical="center"/>
    </xf>
    <xf numFmtId="0" fontId="24" fillId="5" borderId="34" xfId="0" applyFont="1" applyFill="1" applyBorder="1" applyAlignment="1">
      <alignment horizontal="right" vertical="center"/>
    </xf>
    <xf numFmtId="0" fontId="24" fillId="5" borderId="21" xfId="0" applyFont="1" applyFill="1" applyBorder="1" applyAlignment="1">
      <alignment horizontal="right" vertical="center" wrapText="1"/>
    </xf>
    <xf numFmtId="14" fontId="4" fillId="4" borderId="17" xfId="0" applyNumberFormat="1" applyFont="1" applyFill="1" applyBorder="1" applyAlignment="1" applyProtection="1">
      <alignment horizontal="center" vertical="center" wrapText="1"/>
      <protection locked="0"/>
    </xf>
    <xf numFmtId="14" fontId="4" fillId="4" borderId="37" xfId="0" applyNumberFormat="1" applyFont="1" applyFill="1" applyBorder="1" applyAlignment="1" applyProtection="1">
      <alignment horizontal="center" vertical="center" wrapText="1"/>
      <protection locked="0"/>
    </xf>
    <xf numFmtId="14" fontId="4" fillId="4" borderId="5" xfId="0" applyNumberFormat="1" applyFont="1" applyFill="1" applyBorder="1" applyAlignment="1" applyProtection="1">
      <alignment horizontal="center" vertical="center" wrapText="1"/>
      <protection locked="0"/>
    </xf>
    <xf numFmtId="14" fontId="4" fillId="4" borderId="51" xfId="0" applyNumberFormat="1" applyFont="1" applyFill="1" applyBorder="1" applyAlignment="1" applyProtection="1">
      <alignment horizontal="center" vertical="center" wrapText="1"/>
      <protection locked="0"/>
    </xf>
    <xf numFmtId="0" fontId="1" fillId="0" borderId="0" xfId="0" applyFont="1" applyAlignment="1">
      <alignment horizontal="right" vertical="center"/>
    </xf>
    <xf numFmtId="0" fontId="0" fillId="3" borderId="50" xfId="0" applyFill="1" applyBorder="1" applyAlignment="1" applyProtection="1">
      <alignment horizontal="center" vertical="center"/>
      <protection locked="0"/>
    </xf>
    <xf numFmtId="0" fontId="0" fillId="5" borderId="6" xfId="0" applyFill="1" applyBorder="1" applyAlignment="1">
      <alignment vertical="center"/>
    </xf>
    <xf numFmtId="0" fontId="14" fillId="5" borderId="7" xfId="0" applyFont="1" applyFill="1" applyBorder="1" applyAlignment="1">
      <alignment horizontal="right" vertical="center"/>
    </xf>
    <xf numFmtId="0" fontId="0" fillId="5" borderId="22" xfId="0" applyFill="1" applyBorder="1" applyAlignment="1">
      <alignment horizontal="center"/>
    </xf>
    <xf numFmtId="0" fontId="17" fillId="5" borderId="10" xfId="0" applyFont="1" applyFill="1" applyBorder="1"/>
    <xf numFmtId="0" fontId="17" fillId="5" borderId="11" xfId="0" applyFont="1" applyFill="1" applyBorder="1"/>
    <xf numFmtId="0" fontId="17" fillId="7" borderId="13" xfId="0" applyFont="1" applyFill="1" applyBorder="1"/>
    <xf numFmtId="0" fontId="9" fillId="7" borderId="0" xfId="0" applyFont="1" applyFill="1"/>
    <xf numFmtId="0" fontId="9" fillId="7" borderId="0" xfId="0" applyFont="1" applyFill="1" applyAlignment="1">
      <alignment horizontal="right"/>
    </xf>
    <xf numFmtId="0" fontId="9" fillId="7" borderId="0" xfId="0" applyFont="1" applyFill="1" applyAlignment="1">
      <alignment horizontal="center"/>
    </xf>
    <xf numFmtId="0" fontId="0" fillId="7" borderId="8" xfId="0" applyFill="1" applyBorder="1"/>
    <xf numFmtId="0" fontId="10" fillId="7" borderId="10" xfId="0" applyFont="1" applyFill="1" applyBorder="1"/>
    <xf numFmtId="0" fontId="0" fillId="7" borderId="11" xfId="0" applyFill="1" applyBorder="1"/>
    <xf numFmtId="0" fontId="0" fillId="7" borderId="12" xfId="0" applyFill="1" applyBorder="1"/>
    <xf numFmtId="0" fontId="1" fillId="0" borderId="0" xfId="0" applyFont="1" applyAlignment="1">
      <alignment horizontal="center" vertical="center" wrapText="1"/>
    </xf>
    <xf numFmtId="0" fontId="51" fillId="0" borderId="0" xfId="1" applyFont="1" applyBorder="1" applyAlignment="1" applyProtection="1"/>
    <xf numFmtId="0" fontId="23" fillId="5" borderId="6" xfId="0" applyFont="1" applyFill="1" applyBorder="1" applyAlignment="1">
      <alignment horizontal="left" vertical="center" indent="1"/>
    </xf>
    <xf numFmtId="0" fontId="34" fillId="5" borderId="6" xfId="0" applyFont="1" applyFill="1" applyBorder="1" applyAlignment="1">
      <alignment horizontal="left" vertical="center" indent="1"/>
    </xf>
    <xf numFmtId="0" fontId="0" fillId="12" borderId="0" xfId="0" applyFill="1" applyAlignment="1">
      <alignment vertical="center"/>
    </xf>
    <xf numFmtId="0" fontId="0" fillId="12" borderId="0" xfId="0" applyFill="1" applyAlignment="1">
      <alignment horizontal="left" vertical="center"/>
    </xf>
    <xf numFmtId="0" fontId="0" fillId="12" borderId="0" xfId="0" applyFill="1"/>
    <xf numFmtId="2" fontId="5" fillId="5" borderId="42" xfId="0" applyNumberFormat="1" applyFont="1" applyFill="1" applyBorder="1" applyAlignment="1">
      <alignment horizontal="center" vertical="center"/>
    </xf>
    <xf numFmtId="2" fontId="5" fillId="5" borderId="9" xfId="0" applyNumberFormat="1" applyFont="1" applyFill="1" applyBorder="1" applyAlignment="1">
      <alignment horizontal="center" vertical="center"/>
    </xf>
    <xf numFmtId="2" fontId="5" fillId="5" borderId="23" xfId="0" applyNumberFormat="1" applyFont="1" applyFill="1" applyBorder="1" applyAlignment="1">
      <alignment horizontal="center" vertical="center"/>
    </xf>
    <xf numFmtId="0" fontId="70" fillId="5" borderId="0" xfId="0" applyFont="1" applyFill="1" applyAlignment="1">
      <alignment horizontal="center" vertical="center" wrapText="1"/>
    </xf>
    <xf numFmtId="0" fontId="4" fillId="5" borderId="0" xfId="0" applyFont="1" applyFill="1" applyAlignment="1">
      <alignment horizontal="left" vertical="center" wrapText="1"/>
    </xf>
    <xf numFmtId="0" fontId="63" fillId="5" borderId="0" xfId="0" applyFont="1" applyFill="1" applyAlignment="1">
      <alignment horizontal="left" vertical="center" wrapText="1"/>
    </xf>
    <xf numFmtId="166" fontId="4" fillId="5" borderId="0" xfId="0" applyNumberFormat="1" applyFont="1" applyFill="1" applyAlignment="1">
      <alignment horizontal="left" vertical="center" wrapText="1"/>
    </xf>
    <xf numFmtId="166" fontId="63" fillId="5" borderId="0" xfId="0" applyNumberFormat="1" applyFont="1" applyFill="1" applyAlignment="1">
      <alignment horizontal="left" vertical="center" wrapText="1"/>
    </xf>
    <xf numFmtId="0" fontId="4" fillId="5" borderId="0" xfId="0" applyFont="1" applyFill="1" applyAlignment="1">
      <alignment horizontal="left" vertical="center"/>
    </xf>
    <xf numFmtId="0" fontId="25" fillId="5" borderId="0" xfId="0" applyFont="1" applyFill="1" applyAlignment="1">
      <alignment horizontal="left" vertical="center" wrapText="1"/>
    </xf>
    <xf numFmtId="164" fontId="4" fillId="5" borderId="0" xfId="0" applyNumberFormat="1" applyFont="1" applyFill="1" applyAlignment="1">
      <alignment horizontal="center" vertical="center"/>
    </xf>
    <xf numFmtId="0" fontId="22" fillId="5" borderId="0" xfId="0" applyFont="1" applyFill="1" applyAlignment="1">
      <alignment horizontal="left" vertical="center"/>
    </xf>
    <xf numFmtId="0" fontId="4" fillId="5" borderId="0" xfId="0" applyFont="1" applyFill="1" applyAlignment="1">
      <alignment horizontal="center"/>
    </xf>
    <xf numFmtId="0" fontId="64" fillId="5" borderId="0" xfId="1" applyFont="1" applyFill="1" applyAlignment="1" applyProtection="1">
      <alignment horizontal="center" vertical="center" wrapText="1"/>
    </xf>
    <xf numFmtId="0" fontId="4" fillId="5" borderId="0" xfId="0" applyFont="1" applyFill="1" applyAlignment="1">
      <alignment vertical="center"/>
    </xf>
    <xf numFmtId="0" fontId="4" fillId="5" borderId="0" xfId="0" applyFont="1" applyFill="1" applyAlignment="1">
      <alignment horizontal="left"/>
    </xf>
    <xf numFmtId="0" fontId="4" fillId="5" borderId="0" xfId="0" applyFont="1" applyFill="1"/>
    <xf numFmtId="0" fontId="4" fillId="5" borderId="0" xfId="0" applyFont="1" applyFill="1" applyAlignment="1">
      <alignment horizontal="center" vertical="center" wrapText="1"/>
    </xf>
    <xf numFmtId="0" fontId="65" fillId="13" borderId="36" xfId="0" applyFont="1" applyFill="1" applyBorder="1" applyAlignment="1">
      <alignment horizontal="center" vertical="center"/>
    </xf>
    <xf numFmtId="14" fontId="9" fillId="14" borderId="21" xfId="0" applyNumberFormat="1" applyFont="1" applyFill="1" applyBorder="1" applyAlignment="1">
      <alignment horizontal="center" vertical="top" wrapText="1"/>
    </xf>
    <xf numFmtId="0" fontId="9" fillId="14" borderId="21" xfId="0" applyFont="1" applyFill="1" applyBorder="1" applyAlignment="1">
      <alignment horizontal="left" vertical="top" wrapText="1"/>
    </xf>
    <xf numFmtId="0" fontId="9" fillId="14" borderId="21" xfId="0" applyFont="1" applyFill="1" applyBorder="1" applyAlignment="1">
      <alignment horizontal="center" vertical="top" wrapText="1"/>
    </xf>
    <xf numFmtId="14" fontId="1" fillId="0" borderId="21" xfId="0" applyNumberFormat="1" applyFont="1" applyBorder="1" applyAlignment="1">
      <alignment horizontal="justify" vertical="top" wrapText="1"/>
    </xf>
    <xf numFmtId="0" fontId="67" fillId="0" borderId="0" xfId="0" applyFont="1"/>
    <xf numFmtId="0" fontId="67" fillId="0" borderId="0" xfId="0" applyFont="1" applyProtection="1">
      <protection locked="0"/>
    </xf>
    <xf numFmtId="0" fontId="67" fillId="0" borderId="0" xfId="0" applyFont="1" applyAlignment="1">
      <alignment vertical="center"/>
    </xf>
    <xf numFmtId="0" fontId="67" fillId="0" borderId="0" xfId="0" applyFont="1" applyAlignment="1" applyProtection="1">
      <alignment vertical="center"/>
      <protection locked="0"/>
    </xf>
    <xf numFmtId="0" fontId="68" fillId="0" borderId="0" xfId="0" applyFont="1" applyAlignment="1" applyProtection="1">
      <alignment vertical="center"/>
      <protection locked="0"/>
    </xf>
    <xf numFmtId="0" fontId="69" fillId="0" borderId="0" xfId="0" applyFont="1" applyProtection="1">
      <protection locked="0"/>
    </xf>
    <xf numFmtId="0" fontId="67" fillId="0" borderId="0" xfId="0" applyFont="1" applyAlignment="1" applyProtection="1">
      <alignment horizontal="center" vertical="center"/>
      <protection locked="0"/>
    </xf>
    <xf numFmtId="0" fontId="69" fillId="0" borderId="0" xfId="0" applyFont="1" applyAlignment="1" applyProtection="1">
      <alignment vertical="center"/>
      <protection locked="0"/>
    </xf>
    <xf numFmtId="0" fontId="67" fillId="7" borderId="0" xfId="0" applyFont="1" applyFill="1" applyAlignment="1" applyProtection="1">
      <alignment vertical="center"/>
      <protection locked="0"/>
    </xf>
    <xf numFmtId="0" fontId="16" fillId="5" borderId="21" xfId="0" applyFont="1" applyFill="1" applyBorder="1" applyAlignment="1">
      <alignment horizontal="center" vertical="top" wrapText="1"/>
    </xf>
    <xf numFmtId="0" fontId="14" fillId="0" borderId="0" xfId="0" applyFont="1" applyAlignment="1">
      <alignment horizontal="left" vertical="center" indent="1"/>
    </xf>
    <xf numFmtId="0" fontId="14" fillId="0" borderId="0" xfId="0" applyFont="1" applyAlignment="1">
      <alignment horizontal="left" vertical="top" indent="1"/>
    </xf>
    <xf numFmtId="0" fontId="71" fillId="13" borderId="36" xfId="0" applyFont="1" applyFill="1" applyBorder="1" applyAlignment="1">
      <alignment horizontal="left" vertical="center"/>
    </xf>
    <xf numFmtId="0" fontId="9" fillId="0" borderId="0" xfId="0" applyFont="1"/>
    <xf numFmtId="0" fontId="72" fillId="0" borderId="0" xfId="0" applyFont="1" applyAlignment="1">
      <alignment horizontal="center" vertical="center"/>
    </xf>
    <xf numFmtId="0" fontId="5" fillId="5" borderId="21" xfId="0" applyFont="1" applyFill="1" applyBorder="1" applyAlignment="1">
      <alignment horizontal="center" vertical="center" wrapText="1"/>
    </xf>
    <xf numFmtId="0" fontId="75" fillId="7" borderId="21" xfId="0" applyFont="1" applyFill="1" applyBorder="1" applyAlignment="1">
      <alignment horizontal="center" vertical="center" wrapText="1"/>
    </xf>
    <xf numFmtId="0" fontId="9" fillId="10" borderId="21" xfId="0" applyFont="1" applyFill="1" applyBorder="1" applyAlignment="1" applyProtection="1">
      <alignment horizontal="right" vertical="center"/>
      <protection locked="0"/>
    </xf>
    <xf numFmtId="167" fontId="4" fillId="4" borderId="21" xfId="0" applyNumberFormat="1" applyFont="1" applyFill="1" applyBorder="1" applyAlignment="1" applyProtection="1">
      <alignment horizontal="center" vertical="center"/>
      <protection locked="0"/>
    </xf>
    <xf numFmtId="0" fontId="76" fillId="0" borderId="0" xfId="0" applyFont="1"/>
    <xf numFmtId="0" fontId="75" fillId="0" borderId="0" xfId="0" applyFont="1"/>
    <xf numFmtId="14" fontId="1" fillId="14" borderId="21" xfId="0" applyNumberFormat="1" applyFont="1" applyFill="1" applyBorder="1" applyAlignment="1">
      <alignment horizontal="center" vertical="top" wrapText="1"/>
    </xf>
    <xf numFmtId="0" fontId="1" fillId="14" borderId="21" xfId="0" applyFont="1" applyFill="1" applyBorder="1" applyAlignment="1">
      <alignment horizontal="left" vertical="top" wrapText="1"/>
    </xf>
    <xf numFmtId="0" fontId="0" fillId="5" borderId="6" xfId="0" applyFill="1" applyBorder="1" applyAlignment="1">
      <alignment horizontal="left"/>
    </xf>
    <xf numFmtId="0" fontId="0" fillId="5" borderId="7" xfId="0" applyFill="1" applyBorder="1" applyAlignment="1">
      <alignment horizontal="left"/>
    </xf>
    <xf numFmtId="0" fontId="43" fillId="5" borderId="7" xfId="0" applyFont="1" applyFill="1" applyBorder="1" applyAlignment="1">
      <alignment horizontal="left" wrapText="1"/>
    </xf>
    <xf numFmtId="0" fontId="0" fillId="5" borderId="7" xfId="0" applyFill="1" applyBorder="1"/>
    <xf numFmtId="0" fontId="66" fillId="5" borderId="13" xfId="0" applyFont="1" applyFill="1" applyBorder="1" applyAlignment="1">
      <alignment horizontal="left" vertical="top"/>
    </xf>
    <xf numFmtId="0" fontId="2" fillId="5" borderId="0" xfId="0" applyFont="1" applyFill="1" applyAlignment="1">
      <alignment horizontal="left" vertical="top"/>
    </xf>
    <xf numFmtId="0" fontId="62" fillId="5" borderId="13" xfId="1"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0" fillId="5" borderId="0" xfId="0" applyFill="1" applyAlignment="1">
      <alignment vertical="center"/>
    </xf>
    <xf numFmtId="0" fontId="6" fillId="5" borderId="22" xfId="0" applyFont="1" applyFill="1" applyBorder="1" applyAlignment="1">
      <alignment horizontal="right"/>
    </xf>
    <xf numFmtId="0" fontId="1" fillId="14" borderId="21" xfId="0" applyFont="1" applyFill="1" applyBorder="1" applyAlignment="1">
      <alignment horizontal="center" vertical="top" wrapText="1"/>
    </xf>
    <xf numFmtId="166" fontId="0" fillId="0" borderId="0" xfId="0" applyNumberFormat="1"/>
    <xf numFmtId="0" fontId="23" fillId="5" borderId="50" xfId="0" quotePrefix="1" applyFont="1" applyFill="1" applyBorder="1" applyAlignment="1">
      <alignment horizontal="right" vertical="center"/>
    </xf>
    <xf numFmtId="2" fontId="6" fillId="5" borderId="63" xfId="0" applyNumberFormat="1" applyFont="1" applyFill="1" applyBorder="1" applyAlignment="1">
      <alignment horizontal="center" vertical="center"/>
    </xf>
    <xf numFmtId="164" fontId="4" fillId="5" borderId="38" xfId="0" applyNumberFormat="1" applyFont="1" applyFill="1" applyBorder="1" applyAlignment="1">
      <alignment horizontal="center" vertical="center" wrapText="1"/>
    </xf>
    <xf numFmtId="0" fontId="0" fillId="15" borderId="0" xfId="0" applyFill="1"/>
    <xf numFmtId="0" fontId="1" fillId="15" borderId="0" xfId="0" applyFont="1" applyFill="1"/>
    <xf numFmtId="0" fontId="5" fillId="5" borderId="13" xfId="0" applyFont="1" applyFill="1" applyBorder="1" applyAlignment="1">
      <alignment horizontal="left" vertical="center"/>
    </xf>
    <xf numFmtId="0" fontId="8" fillId="5" borderId="0" xfId="0" applyFont="1" applyFill="1" applyAlignment="1">
      <alignment horizontal="left" vertical="center"/>
    </xf>
    <xf numFmtId="0" fontId="77" fillId="16" borderId="0" xfId="0" applyFont="1" applyFill="1"/>
    <xf numFmtId="0" fontId="6" fillId="6" borderId="20" xfId="0" applyFont="1" applyFill="1" applyBorder="1" applyAlignment="1">
      <alignment horizontal="center" vertical="center" wrapText="1"/>
    </xf>
    <xf numFmtId="0" fontId="5" fillId="5" borderId="21" xfId="0" applyFont="1" applyFill="1" applyBorder="1" applyAlignment="1">
      <alignment vertical="center"/>
    </xf>
    <xf numFmtId="2" fontId="20" fillId="5" borderId="63" xfId="0" applyNumberFormat="1" applyFont="1" applyFill="1" applyBorder="1" applyAlignment="1">
      <alignment horizontal="center" vertical="center" wrapText="1"/>
    </xf>
    <xf numFmtId="2" fontId="6" fillId="5" borderId="21" xfId="0" applyNumberFormat="1" applyFont="1" applyFill="1" applyBorder="1" applyAlignment="1">
      <alignment horizontal="center"/>
    </xf>
    <xf numFmtId="2" fontId="6" fillId="5" borderId="21" xfId="0" applyNumberFormat="1" applyFont="1" applyFill="1" applyBorder="1" applyAlignment="1">
      <alignment horizontal="center" vertical="center"/>
    </xf>
    <xf numFmtId="0" fontId="62" fillId="5" borderId="0" xfId="1" applyFont="1" applyFill="1" applyBorder="1" applyAlignment="1" applyProtection="1">
      <alignment horizontal="left" vertical="center" indent="1"/>
    </xf>
    <xf numFmtId="0" fontId="0" fillId="9" borderId="0" xfId="0" applyFill="1"/>
    <xf numFmtId="17" fontId="3" fillId="7" borderId="0" xfId="0" applyNumberFormat="1" applyFont="1" applyFill="1" applyAlignment="1" applyProtection="1">
      <alignment horizontal="left"/>
      <protection locked="0"/>
    </xf>
    <xf numFmtId="0" fontId="0" fillId="7" borderId="0" xfId="0" applyFill="1" applyProtection="1">
      <protection locked="0"/>
    </xf>
    <xf numFmtId="0" fontId="4" fillId="7" borderId="0" xfId="0" applyFont="1" applyFill="1"/>
    <xf numFmtId="0" fontId="4" fillId="7" borderId="0" xfId="0" applyFont="1" applyFill="1" applyAlignment="1">
      <alignment horizontal="center" vertical="center"/>
    </xf>
    <xf numFmtId="0" fontId="0" fillId="7" borderId="0" xfId="0" applyFill="1" applyAlignment="1">
      <alignment vertical="center"/>
    </xf>
    <xf numFmtId="0" fontId="67" fillId="7" borderId="0" xfId="0" applyFont="1" applyFill="1" applyProtection="1">
      <protection locked="0"/>
    </xf>
    <xf numFmtId="0" fontId="0" fillId="7" borderId="0" xfId="0" applyFill="1" applyAlignment="1" applyProtection="1">
      <alignment horizontal="left"/>
      <protection locked="0"/>
    </xf>
    <xf numFmtId="0" fontId="0" fillId="7" borderId="0" xfId="0" applyFill="1"/>
    <xf numFmtId="0" fontId="4" fillId="7" borderId="0" xfId="0" applyFont="1" applyFill="1" applyAlignment="1" applyProtection="1">
      <alignment horizontal="left" vertical="center"/>
      <protection locked="0"/>
    </xf>
    <xf numFmtId="0" fontId="35" fillId="7" borderId="0" xfId="0" applyFont="1" applyFill="1"/>
    <xf numFmtId="167" fontId="4" fillId="10" borderId="17" xfId="0" applyNumberFormat="1" applyFont="1" applyFill="1" applyBorder="1" applyAlignment="1" applyProtection="1">
      <alignment horizontal="center" vertical="center" wrapText="1"/>
      <protection locked="0"/>
    </xf>
    <xf numFmtId="167" fontId="4" fillId="10" borderId="41" xfId="0" applyNumberFormat="1" applyFont="1" applyFill="1" applyBorder="1" applyAlignment="1" applyProtection="1">
      <alignment horizontal="center" vertical="center" wrapText="1"/>
      <protection locked="0"/>
    </xf>
    <xf numFmtId="167" fontId="4" fillId="10" borderId="33" xfId="0" applyNumberFormat="1" applyFont="1" applyFill="1" applyBorder="1" applyAlignment="1" applyProtection="1">
      <alignment horizontal="center" vertical="center" wrapText="1"/>
      <protection locked="0"/>
    </xf>
    <xf numFmtId="167" fontId="4" fillId="10" borderId="1" xfId="0" applyNumberFormat="1" applyFont="1" applyFill="1" applyBorder="1" applyAlignment="1" applyProtection="1">
      <alignment horizontal="center" vertical="center" wrapText="1"/>
      <protection locked="0"/>
    </xf>
    <xf numFmtId="0" fontId="4" fillId="10" borderId="36" xfId="0" applyFont="1" applyFill="1" applyBorder="1" applyAlignment="1" applyProtection="1">
      <alignment horizontal="center" vertical="center" wrapText="1"/>
      <protection locked="0"/>
    </xf>
    <xf numFmtId="0" fontId="4" fillId="10" borderId="21" xfId="0" applyFont="1" applyFill="1" applyBorder="1" applyAlignment="1" applyProtection="1">
      <alignment horizontal="center" vertical="center" wrapText="1"/>
      <protection locked="0"/>
    </xf>
    <xf numFmtId="0" fontId="20" fillId="10" borderId="36" xfId="0" applyFont="1" applyFill="1" applyBorder="1" applyAlignment="1" applyProtection="1">
      <alignment horizontal="left" vertical="center" wrapText="1"/>
      <protection locked="0"/>
    </xf>
    <xf numFmtId="167" fontId="20" fillId="10" borderId="17" xfId="0" applyNumberFormat="1" applyFont="1" applyFill="1" applyBorder="1" applyAlignment="1" applyProtection="1">
      <alignment horizontal="center" vertical="center" wrapText="1"/>
      <protection locked="0"/>
    </xf>
    <xf numFmtId="0" fontId="20" fillId="10" borderId="46" xfId="0" applyFont="1" applyFill="1" applyBorder="1" applyAlignment="1" applyProtection="1">
      <alignment horizontal="left" vertical="center" wrapText="1"/>
      <protection locked="0"/>
    </xf>
    <xf numFmtId="0" fontId="4" fillId="10" borderId="46" xfId="0" applyFont="1" applyFill="1" applyBorder="1" applyAlignment="1" applyProtection="1">
      <alignment horizontal="center" vertical="center" wrapText="1"/>
      <protection locked="0"/>
    </xf>
    <xf numFmtId="0" fontId="4" fillId="10" borderId="35" xfId="0" applyFont="1" applyFill="1" applyBorder="1" applyAlignment="1" applyProtection="1">
      <alignment horizontal="center" vertical="center" wrapText="1"/>
      <protection locked="0"/>
    </xf>
    <xf numFmtId="2" fontId="4" fillId="10" borderId="21" xfId="0" applyNumberFormat="1" applyFont="1" applyFill="1" applyBorder="1" applyAlignment="1" applyProtection="1">
      <alignment horizontal="center" vertical="center" wrapText="1"/>
      <protection locked="0"/>
    </xf>
    <xf numFmtId="0" fontId="4" fillId="10" borderId="4" xfId="0" applyFont="1" applyFill="1" applyBorder="1" applyAlignment="1" applyProtection="1">
      <alignment horizontal="left" vertical="center" wrapText="1"/>
      <protection locked="0"/>
    </xf>
    <xf numFmtId="2" fontId="4" fillId="10" borderId="35" xfId="0" applyNumberFormat="1" applyFont="1" applyFill="1" applyBorder="1" applyAlignment="1" applyProtection="1">
      <alignment horizontal="center" vertical="center" wrapText="1"/>
      <protection locked="0"/>
    </xf>
    <xf numFmtId="167" fontId="20" fillId="10" borderId="1" xfId="0" applyNumberFormat="1" applyFont="1" applyFill="1" applyBorder="1" applyAlignment="1" applyProtection="1">
      <alignment horizontal="center" vertical="center" wrapText="1"/>
      <protection locked="0"/>
    </xf>
    <xf numFmtId="0" fontId="20" fillId="10" borderId="34" xfId="0" applyFont="1" applyFill="1" applyBorder="1" applyAlignment="1" applyProtection="1">
      <alignment horizontal="center" vertical="center" wrapText="1"/>
      <protection locked="0"/>
    </xf>
    <xf numFmtId="0" fontId="4" fillId="10" borderId="34" xfId="0" applyFont="1" applyFill="1" applyBorder="1" applyAlignment="1" applyProtection="1">
      <alignment horizontal="center" vertical="center" wrapText="1"/>
      <protection locked="0"/>
    </xf>
    <xf numFmtId="0" fontId="4" fillId="10" borderId="45" xfId="0" applyFont="1" applyFill="1" applyBorder="1" applyAlignment="1" applyProtection="1">
      <alignment horizontal="center" vertical="center" wrapText="1"/>
      <protection locked="0"/>
    </xf>
    <xf numFmtId="0" fontId="20" fillId="10" borderId="21" xfId="0" applyFont="1" applyFill="1" applyBorder="1" applyAlignment="1" applyProtection="1">
      <alignment horizontal="center" vertical="center" wrapText="1"/>
      <protection locked="0"/>
    </xf>
    <xf numFmtId="0" fontId="4" fillId="10" borderId="34" xfId="0" applyFont="1" applyFill="1" applyBorder="1" applyAlignment="1" applyProtection="1">
      <alignment horizontal="left" vertical="center" wrapText="1"/>
      <protection locked="0"/>
    </xf>
    <xf numFmtId="0" fontId="4" fillId="10" borderId="21" xfId="0" applyFont="1" applyFill="1" applyBorder="1" applyAlignment="1" applyProtection="1">
      <alignment horizontal="left" vertical="center" wrapText="1"/>
      <protection locked="0"/>
    </xf>
    <xf numFmtId="0" fontId="20" fillId="10" borderId="21" xfId="0" applyFont="1" applyFill="1" applyBorder="1" applyAlignment="1" applyProtection="1">
      <alignment horizontal="left" vertical="center" wrapText="1"/>
      <protection locked="0"/>
    </xf>
    <xf numFmtId="167" fontId="4" fillId="18" borderId="33" xfId="0" applyNumberFormat="1" applyFont="1" applyFill="1" applyBorder="1" applyAlignment="1">
      <alignment horizontal="center" vertical="center" wrapText="1"/>
    </xf>
    <xf numFmtId="167" fontId="4" fillId="18" borderId="5" xfId="0" applyNumberFormat="1" applyFont="1" applyFill="1" applyBorder="1" applyAlignment="1">
      <alignment horizontal="center" vertical="center" wrapText="1"/>
    </xf>
    <xf numFmtId="167" fontId="4" fillId="18" borderId="17" xfId="0" applyNumberFormat="1" applyFont="1" applyFill="1" applyBorder="1" applyAlignment="1">
      <alignment horizontal="center" vertical="center" wrapText="1"/>
    </xf>
    <xf numFmtId="167" fontId="4" fillId="18" borderId="21" xfId="0" applyNumberFormat="1" applyFont="1" applyFill="1" applyBorder="1" applyAlignment="1">
      <alignment horizontal="center" vertical="center" wrapText="1"/>
    </xf>
    <xf numFmtId="1" fontId="20" fillId="10" borderId="35" xfId="0" applyNumberFormat="1" applyFont="1" applyFill="1" applyBorder="1" applyAlignment="1" applyProtection="1">
      <alignment horizontal="center" vertical="center" wrapText="1"/>
      <protection locked="0"/>
    </xf>
    <xf numFmtId="0" fontId="9" fillId="10" borderId="58" xfId="0" applyFont="1" applyFill="1" applyBorder="1" applyAlignment="1" applyProtection="1">
      <alignment horizontal="left" vertical="center"/>
      <protection locked="0"/>
    </xf>
    <xf numFmtId="0" fontId="57" fillId="10" borderId="41" xfId="1" applyFont="1" applyFill="1" applyBorder="1" applyAlignment="1" applyProtection="1">
      <alignment horizontal="left" vertical="center"/>
      <protection locked="0"/>
    </xf>
    <xf numFmtId="0" fontId="9" fillId="10" borderId="41" xfId="0" applyFont="1" applyFill="1" applyBorder="1" applyAlignment="1" applyProtection="1">
      <alignment horizontal="left" vertical="center"/>
      <protection locked="0"/>
    </xf>
    <xf numFmtId="0" fontId="9" fillId="19" borderId="15" xfId="0" applyFont="1" applyFill="1" applyBorder="1" applyAlignment="1" applyProtection="1">
      <alignment horizontal="left" vertical="center"/>
      <protection locked="0"/>
    </xf>
    <xf numFmtId="0" fontId="0" fillId="0" borderId="0" xfId="0" applyAlignment="1">
      <alignment horizontal="right" vertical="center"/>
    </xf>
    <xf numFmtId="0" fontId="6" fillId="5" borderId="36" xfId="0" applyFont="1" applyFill="1" applyBorder="1" applyAlignment="1">
      <alignment horizontal="center" vertical="center" wrapText="1"/>
    </xf>
    <xf numFmtId="0" fontId="0" fillId="5" borderId="0" xfId="0" applyFill="1" applyAlignment="1">
      <alignment horizontal="left" vertical="center" wrapText="1"/>
    </xf>
    <xf numFmtId="0" fontId="23" fillId="17" borderId="6" xfId="0" applyFont="1" applyFill="1" applyBorder="1" applyAlignment="1">
      <alignment horizontal="left" vertical="center" indent="1"/>
    </xf>
    <xf numFmtId="0" fontId="29" fillId="17" borderId="7" xfId="0" applyFont="1" applyFill="1" applyBorder="1" applyAlignment="1">
      <alignment horizontal="left" vertical="center" indent="1"/>
    </xf>
    <xf numFmtId="0" fontId="25" fillId="17" borderId="7" xfId="0" applyFont="1" applyFill="1" applyBorder="1" applyAlignment="1">
      <alignment horizontal="left" vertical="center" wrapText="1" indent="1"/>
    </xf>
    <xf numFmtId="0" fontId="49" fillId="17" borderId="7" xfId="0" applyFont="1" applyFill="1" applyBorder="1" applyAlignment="1">
      <alignment horizontal="right" vertical="center" indent="1"/>
    </xf>
    <xf numFmtId="2" fontId="24" fillId="17" borderId="22" xfId="0" applyNumberFormat="1" applyFont="1" applyFill="1" applyBorder="1" applyAlignment="1">
      <alignment horizontal="center" vertical="center"/>
    </xf>
    <xf numFmtId="0" fontId="35" fillId="5" borderId="41" xfId="0" applyFont="1" applyFill="1" applyBorder="1" applyAlignment="1">
      <alignment horizontal="right" vertical="center"/>
    </xf>
    <xf numFmtId="0" fontId="35" fillId="5" borderId="47" xfId="0" applyFont="1" applyFill="1" applyBorder="1" applyAlignment="1">
      <alignment horizontal="right" vertical="center"/>
    </xf>
    <xf numFmtId="0" fontId="9" fillId="5" borderId="21" xfId="0" applyFont="1" applyFill="1" applyBorder="1" applyAlignment="1">
      <alignment horizontal="center" vertical="center" wrapText="1"/>
    </xf>
    <xf numFmtId="0" fontId="44" fillId="5" borderId="0" xfId="1" applyFont="1" applyFill="1" applyBorder="1" applyAlignment="1" applyProtection="1">
      <alignment horizontal="right" vertical="center"/>
    </xf>
    <xf numFmtId="1" fontId="20" fillId="10" borderId="4" xfId="0" applyNumberFormat="1" applyFont="1" applyFill="1" applyBorder="1" applyAlignment="1" applyProtection="1">
      <alignment horizontal="center" vertical="center" wrapText="1"/>
      <protection locked="0"/>
    </xf>
    <xf numFmtId="0" fontId="18" fillId="5" borderId="0" xfId="0" applyFont="1" applyFill="1" applyAlignment="1">
      <alignment horizontal="right" vertical="center"/>
    </xf>
    <xf numFmtId="0" fontId="73" fillId="5" borderId="49" xfId="0" applyFont="1" applyFill="1" applyBorder="1" applyAlignment="1">
      <alignment horizontal="left" vertical="center"/>
    </xf>
    <xf numFmtId="0" fontId="35" fillId="5" borderId="41" xfId="0" applyFont="1" applyFill="1" applyBorder="1" applyAlignment="1">
      <alignment horizontal="left" vertical="center"/>
    </xf>
    <xf numFmtId="0" fontId="5" fillId="5" borderId="1" xfId="0" quotePrefix="1" applyFont="1" applyFill="1" applyBorder="1" applyAlignment="1">
      <alignment vertical="center"/>
    </xf>
    <xf numFmtId="0" fontId="5" fillId="5" borderId="1" xfId="0" applyFont="1" applyFill="1" applyBorder="1" applyAlignment="1">
      <alignment vertical="center"/>
    </xf>
    <xf numFmtId="0" fontId="35" fillId="5" borderId="20" xfId="0" applyFont="1" applyFill="1" applyBorder="1" applyAlignment="1">
      <alignment horizontal="center" vertical="center" wrapText="1"/>
    </xf>
    <xf numFmtId="0" fontId="20" fillId="0" borderId="13" xfId="0" applyFont="1" applyBorder="1" applyAlignment="1">
      <alignment horizontal="left" vertical="center"/>
    </xf>
    <xf numFmtId="0" fontId="20" fillId="0" borderId="0" xfId="0" applyFont="1" applyAlignment="1">
      <alignment horizontal="left" vertical="center"/>
    </xf>
    <xf numFmtId="0" fontId="0" fillId="0" borderId="0" xfId="0" applyAlignment="1">
      <alignment vertical="center" wrapText="1"/>
    </xf>
    <xf numFmtId="0" fontId="0" fillId="0" borderId="8" xfId="0" applyBorder="1" applyAlignment="1">
      <alignment vertical="center" wrapText="1"/>
    </xf>
    <xf numFmtId="0" fontId="0" fillId="0" borderId="13" xfId="0" applyBorder="1" applyAlignment="1">
      <alignment vertical="center"/>
    </xf>
    <xf numFmtId="0" fontId="0" fillId="0" borderId="8" xfId="0" applyBorder="1" applyAlignment="1">
      <alignment vertical="center"/>
    </xf>
    <xf numFmtId="0" fontId="18" fillId="0" borderId="13" xfId="0" applyFont="1" applyBorder="1" applyAlignment="1">
      <alignment horizontal="right" vertical="center" wrapText="1"/>
    </xf>
    <xf numFmtId="0" fontId="18" fillId="0" borderId="0" xfId="0" applyFont="1" applyAlignment="1">
      <alignment horizontal="right" vertical="center"/>
    </xf>
    <xf numFmtId="0" fontId="18" fillId="0" borderId="0" xfId="0" applyFont="1" applyAlignment="1">
      <alignment horizontal="righ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0" fillId="0" borderId="16" xfId="0" applyBorder="1" applyAlignment="1">
      <alignment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20" fillId="0" borderId="8" xfId="0" applyFont="1" applyBorder="1" applyAlignment="1">
      <alignment horizontal="left" vertical="center"/>
    </xf>
    <xf numFmtId="0" fontId="4" fillId="0" borderId="8" xfId="0" applyFont="1" applyBorder="1" applyAlignment="1">
      <alignment horizontal="left" vertical="center"/>
    </xf>
    <xf numFmtId="0" fontId="67" fillId="5" borderId="0" xfId="0" applyFont="1" applyFill="1"/>
    <xf numFmtId="166" fontId="79" fillId="5" borderId="0" xfId="0" applyNumberFormat="1" applyFont="1" applyFill="1"/>
    <xf numFmtId="0" fontId="80" fillId="5" borderId="0" xfId="0" applyFont="1" applyFill="1" applyAlignment="1">
      <alignment horizontal="center"/>
    </xf>
    <xf numFmtId="0" fontId="81" fillId="5" borderId="0" xfId="0" applyFont="1" applyFill="1" applyAlignment="1">
      <alignment horizontal="center" vertical="center" wrapText="1"/>
    </xf>
    <xf numFmtId="0" fontId="80" fillId="5" borderId="0" xfId="0" applyFont="1" applyFill="1" applyAlignment="1">
      <alignment horizontal="left" vertical="center"/>
    </xf>
    <xf numFmtId="0" fontId="81" fillId="5" borderId="0" xfId="0" applyFont="1" applyFill="1" applyAlignment="1">
      <alignment horizontal="center" vertical="center"/>
    </xf>
    <xf numFmtId="0" fontId="67" fillId="5" borderId="0" xfId="0" applyFont="1" applyFill="1" applyAlignment="1">
      <alignment vertical="center"/>
    </xf>
    <xf numFmtId="0" fontId="79" fillId="5" borderId="0" xfId="0" applyFont="1" applyFill="1" applyAlignment="1">
      <alignment vertical="center" wrapText="1"/>
    </xf>
    <xf numFmtId="0" fontId="79" fillId="5" borderId="0" xfId="0" applyFont="1" applyFill="1" applyAlignment="1">
      <alignment horizontal="right" vertical="center"/>
    </xf>
    <xf numFmtId="0" fontId="80" fillId="5" borderId="0" xfId="0" applyFont="1" applyFill="1" applyAlignment="1">
      <alignment vertical="center"/>
    </xf>
    <xf numFmtId="0" fontId="82" fillId="5" borderId="0" xfId="0" applyFont="1" applyFill="1" applyAlignment="1">
      <alignment vertical="center"/>
    </xf>
    <xf numFmtId="0" fontId="83" fillId="5" borderId="0" xfId="0" applyFont="1" applyFill="1" applyAlignment="1">
      <alignment vertical="center"/>
    </xf>
    <xf numFmtId="14" fontId="81" fillId="5" borderId="0" xfId="0" applyNumberFormat="1" applyFont="1" applyFill="1" applyAlignment="1">
      <alignment horizontal="left" vertical="center"/>
    </xf>
    <xf numFmtId="0" fontId="82" fillId="5" borderId="0" xfId="0" applyFont="1" applyFill="1" applyAlignment="1">
      <alignment horizontal="right" vertical="center"/>
    </xf>
    <xf numFmtId="0" fontId="83" fillId="5" borderId="0" xfId="0" applyFont="1" applyFill="1" applyAlignment="1">
      <alignment horizontal="center" vertical="center"/>
    </xf>
    <xf numFmtId="0" fontId="83" fillId="5" borderId="0" xfId="0" applyFont="1" applyFill="1" applyAlignment="1">
      <alignment horizontal="center" vertical="center" wrapText="1"/>
    </xf>
    <xf numFmtId="0" fontId="79" fillId="5" borderId="0" xfId="0" applyFont="1" applyFill="1" applyAlignment="1">
      <alignment vertical="center"/>
    </xf>
    <xf numFmtId="0" fontId="81" fillId="5" borderId="0" xfId="0" applyFont="1" applyFill="1"/>
    <xf numFmtId="0" fontId="84" fillId="5" borderId="0" xfId="0" applyFont="1" applyFill="1" applyAlignment="1">
      <alignment horizontal="left" vertical="center" wrapText="1"/>
    </xf>
    <xf numFmtId="0" fontId="85" fillId="5" borderId="0" xfId="0" applyFont="1" applyFill="1" applyAlignment="1">
      <alignment vertical="center" wrapText="1"/>
    </xf>
    <xf numFmtId="0" fontId="84" fillId="5" borderId="0" xfId="0" applyFont="1" applyFill="1" applyAlignment="1">
      <alignment horizontal="left" vertical="center" wrapText="1" indent="1"/>
    </xf>
    <xf numFmtId="0" fontId="85" fillId="5" borderId="0" xfId="0" applyFont="1" applyFill="1" applyAlignment="1">
      <alignment vertical="center"/>
    </xf>
    <xf numFmtId="0" fontId="68" fillId="5" borderId="0" xfId="0" applyFont="1" applyFill="1" applyAlignment="1">
      <alignment vertical="center"/>
    </xf>
    <xf numFmtId="0" fontId="86" fillId="5" borderId="0" xfId="0" applyFont="1" applyFill="1" applyAlignment="1">
      <alignment vertical="center"/>
    </xf>
    <xf numFmtId="0" fontId="79" fillId="5" borderId="0" xfId="0" applyFont="1" applyFill="1" applyAlignment="1">
      <alignment horizontal="center" vertical="center"/>
    </xf>
    <xf numFmtId="164" fontId="81" fillId="5" borderId="0" xfId="0" applyNumberFormat="1" applyFont="1" applyFill="1" applyAlignment="1">
      <alignment horizontal="center" vertical="center"/>
    </xf>
    <xf numFmtId="0" fontId="82" fillId="5" borderId="0" xfId="0" applyFont="1" applyFill="1" applyAlignment="1">
      <alignment horizontal="center" vertical="center"/>
    </xf>
    <xf numFmtId="0" fontId="86" fillId="5" borderId="0" xfId="0" applyFont="1" applyFill="1" applyAlignment="1">
      <alignment horizontal="center" vertical="center"/>
    </xf>
    <xf numFmtId="0" fontId="81" fillId="5" borderId="0" xfId="0" applyFont="1" applyFill="1" applyAlignment="1">
      <alignment horizontal="left" vertical="center"/>
    </xf>
    <xf numFmtId="0" fontId="81" fillId="5" borderId="36" xfId="0" applyFont="1" applyFill="1" applyBorder="1" applyAlignment="1">
      <alignment horizontal="center" vertical="center"/>
    </xf>
    <xf numFmtId="0" fontId="67" fillId="5" borderId="20" xfId="0" applyFont="1" applyFill="1" applyBorder="1" applyAlignment="1">
      <alignment horizontal="center" vertical="center"/>
    </xf>
    <xf numFmtId="0" fontId="81" fillId="5" borderId="21" xfId="0" applyFont="1" applyFill="1" applyBorder="1" applyAlignment="1">
      <alignment vertical="center"/>
    </xf>
    <xf numFmtId="0" fontId="69" fillId="5" borderId="0" xfId="0" applyFont="1" applyFill="1" applyAlignment="1">
      <alignment horizontal="center" vertical="center" wrapText="1"/>
    </xf>
    <xf numFmtId="0" fontId="81" fillId="5" borderId="0" xfId="0" applyFont="1" applyFill="1" applyAlignment="1">
      <alignment horizontal="left" vertical="center" wrapText="1"/>
    </xf>
    <xf numFmtId="0" fontId="69" fillId="5" borderId="0" xfId="0" applyFont="1" applyFill="1"/>
    <xf numFmtId="0" fontId="67" fillId="5" borderId="0" xfId="0" applyFont="1" applyFill="1" applyAlignment="1">
      <alignment horizontal="center" vertical="center"/>
    </xf>
    <xf numFmtId="0" fontId="69" fillId="5" borderId="0" xfId="0" applyFont="1" applyFill="1" applyAlignment="1">
      <alignment vertical="center"/>
    </xf>
    <xf numFmtId="2" fontId="81" fillId="5" borderId="0" xfId="0" applyNumberFormat="1" applyFont="1" applyFill="1" applyAlignment="1">
      <alignment horizontal="center" vertical="center"/>
    </xf>
    <xf numFmtId="0" fontId="87" fillId="5" borderId="0" xfId="0" applyFont="1" applyFill="1" applyAlignment="1">
      <alignment horizontal="left" vertical="center" wrapText="1"/>
    </xf>
    <xf numFmtId="0" fontId="87" fillId="5" borderId="0" xfId="0" applyFont="1" applyFill="1" applyAlignment="1">
      <alignment horizontal="center" vertical="center" wrapText="1"/>
    </xf>
    <xf numFmtId="0" fontId="82" fillId="5" borderId="0" xfId="0" applyFont="1" applyFill="1" applyAlignment="1">
      <alignment horizontal="left" vertical="center"/>
    </xf>
    <xf numFmtId="14" fontId="81" fillId="5" borderId="0" xfId="0" applyNumberFormat="1" applyFont="1" applyFill="1" applyAlignment="1">
      <alignment horizontal="center" vertical="center"/>
    </xf>
    <xf numFmtId="0" fontId="0" fillId="14" borderId="21" xfId="0" applyFill="1" applyBorder="1" applyAlignment="1">
      <alignment horizontal="left" vertical="top" wrapText="1"/>
    </xf>
    <xf numFmtId="0" fontId="0" fillId="14" borderId="21" xfId="0" applyFill="1" applyBorder="1" applyAlignment="1">
      <alignment horizontal="center" vertical="top" wrapText="1"/>
    </xf>
    <xf numFmtId="0" fontId="81" fillId="20" borderId="0" xfId="0" applyFont="1" applyFill="1" applyAlignment="1">
      <alignment horizontal="left" vertical="center"/>
    </xf>
    <xf numFmtId="0" fontId="81" fillId="20" borderId="0" xfId="0" applyFont="1" applyFill="1" applyAlignment="1">
      <alignment horizontal="center" vertical="center"/>
    </xf>
    <xf numFmtId="0" fontId="7" fillId="5" borderId="0" xfId="1" applyFill="1" applyBorder="1" applyAlignment="1" applyProtection="1">
      <alignment horizontal="left" vertical="center" indent="1"/>
    </xf>
    <xf numFmtId="164" fontId="20" fillId="10" borderId="21" xfId="0" applyNumberFormat="1" applyFont="1" applyFill="1" applyBorder="1" applyAlignment="1" applyProtection="1">
      <alignment horizontal="center" vertical="center" wrapText="1"/>
      <protection locked="0"/>
    </xf>
    <xf numFmtId="0" fontId="14" fillId="0" borderId="2" xfId="0" applyFont="1" applyBorder="1" applyAlignment="1">
      <alignment horizontal="left" vertical="center" wrapText="1"/>
    </xf>
    <xf numFmtId="0" fontId="0" fillId="0" borderId="0" xfId="0" applyAlignment="1">
      <alignment vertical="center" wrapText="1"/>
    </xf>
    <xf numFmtId="0" fontId="0" fillId="0" borderId="3" xfId="0" applyBorder="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3" xfId="0" applyFont="1" applyBorder="1" applyAlignment="1">
      <alignment vertical="top" wrapText="1"/>
    </xf>
    <xf numFmtId="0" fontId="1" fillId="0" borderId="0" xfId="0" applyFont="1" applyAlignment="1">
      <alignment horizontal="left" vertical="center" wrapText="1"/>
    </xf>
    <xf numFmtId="0" fontId="4" fillId="0" borderId="54" xfId="0" applyFont="1" applyBorder="1" applyAlignment="1">
      <alignment horizontal="left" vertical="center" wrapText="1" indent="1"/>
    </xf>
    <xf numFmtId="0" fontId="4" fillId="0" borderId="55" xfId="0" applyFont="1" applyBorder="1" applyAlignment="1">
      <alignment horizontal="left" vertical="center" wrapText="1" inden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22" fillId="3" borderId="57" xfId="0" applyFont="1" applyFill="1" applyBorder="1" applyAlignment="1">
      <alignment horizontal="left" vertical="center" wrapText="1"/>
    </xf>
    <xf numFmtId="0" fontId="22" fillId="3" borderId="52" xfId="0" applyFont="1" applyFill="1" applyBorder="1" applyAlignment="1">
      <alignment horizontal="left" vertical="center" wrapText="1"/>
    </xf>
    <xf numFmtId="0" fontId="0" fillId="0" borderId="52" xfId="0" applyBorder="1" applyAlignment="1">
      <alignment wrapText="1"/>
    </xf>
    <xf numFmtId="0" fontId="0" fillId="0" borderId="53" xfId="0" applyBorder="1" applyAlignment="1">
      <alignment wrapText="1"/>
    </xf>
    <xf numFmtId="0" fontId="6" fillId="5" borderId="36" xfId="0" applyFont="1" applyFill="1" applyBorder="1" applyAlignment="1">
      <alignment horizontal="center" vertical="center" wrapText="1"/>
    </xf>
    <xf numFmtId="0" fontId="0" fillId="0" borderId="20" xfId="0" applyBorder="1" applyAlignment="1">
      <alignment horizontal="center" vertical="center" wrapText="1"/>
    </xf>
    <xf numFmtId="1" fontId="4" fillId="10" borderId="36" xfId="0" applyNumberFormat="1" applyFont="1" applyFill="1" applyBorder="1" applyAlignment="1" applyProtection="1">
      <alignment horizontal="center" vertical="center"/>
      <protection locked="0"/>
    </xf>
    <xf numFmtId="0" fontId="0" fillId="10" borderId="20" xfId="0" applyFill="1" applyBorder="1" applyAlignment="1" applyProtection="1">
      <alignment vertical="center"/>
      <protection locked="0"/>
    </xf>
    <xf numFmtId="1" fontId="4" fillId="10" borderId="46" xfId="0" applyNumberFormat="1" applyFont="1" applyFill="1" applyBorder="1" applyAlignment="1" applyProtection="1">
      <alignment horizontal="center" vertical="center"/>
      <protection locked="0"/>
    </xf>
    <xf numFmtId="0" fontId="0" fillId="10" borderId="51" xfId="0" applyFill="1" applyBorder="1" applyAlignment="1" applyProtection="1">
      <alignment vertical="center"/>
      <protection locked="0"/>
    </xf>
    <xf numFmtId="0" fontId="9" fillId="19" borderId="21" xfId="0" applyFont="1" applyFill="1" applyBorder="1" applyAlignment="1" applyProtection="1">
      <alignment horizontal="center" vertical="center"/>
      <protection locked="0"/>
    </xf>
    <xf numFmtId="0" fontId="0" fillId="10" borderId="9" xfId="0" applyFill="1" applyBorder="1" applyAlignment="1" applyProtection="1">
      <alignment vertical="center"/>
      <protection locked="0"/>
    </xf>
    <xf numFmtId="166" fontId="9" fillId="19" borderId="21" xfId="0" applyNumberFormat="1" applyFont="1" applyFill="1" applyBorder="1" applyAlignment="1" applyProtection="1">
      <alignment horizontal="center" vertical="center"/>
      <protection locked="0"/>
    </xf>
    <xf numFmtId="166" fontId="0" fillId="10" borderId="9" xfId="0" applyNumberFormat="1" applyFill="1" applyBorder="1" applyAlignment="1" applyProtection="1">
      <alignment vertical="center"/>
      <protection locked="0"/>
    </xf>
    <xf numFmtId="166" fontId="9" fillId="19" borderId="36" xfId="0" applyNumberFormat="1" applyFont="1" applyFill="1" applyBorder="1" applyAlignment="1" applyProtection="1">
      <alignment horizontal="center" vertical="center"/>
      <protection locked="0"/>
    </xf>
    <xf numFmtId="166" fontId="9" fillId="19" borderId="47" xfId="0" applyNumberFormat="1" applyFont="1" applyFill="1" applyBorder="1" applyAlignment="1" applyProtection="1">
      <alignment horizontal="center" vertical="center"/>
      <protection locked="0"/>
    </xf>
    <xf numFmtId="0" fontId="61" fillId="5" borderId="13" xfId="0" applyFont="1" applyFill="1" applyBorder="1" applyAlignment="1">
      <alignment horizontal="left" wrapText="1"/>
    </xf>
    <xf numFmtId="0" fontId="61" fillId="5" borderId="0" xfId="0" applyFont="1" applyFill="1" applyAlignment="1">
      <alignment wrapText="1"/>
    </xf>
    <xf numFmtId="0" fontId="61" fillId="5" borderId="8" xfId="0" applyFont="1" applyFill="1" applyBorder="1" applyAlignment="1">
      <alignment wrapText="1"/>
    </xf>
    <xf numFmtId="0" fontId="34" fillId="5" borderId="6" xfId="0" applyFont="1" applyFill="1" applyBorder="1" applyAlignment="1">
      <alignment horizontal="right" vertical="center"/>
    </xf>
    <xf numFmtId="0" fontId="0" fillId="0" borderId="7" xfId="0" applyBorder="1"/>
    <xf numFmtId="0" fontId="34" fillId="5" borderId="13" xfId="0" applyFont="1" applyFill="1" applyBorder="1" applyAlignment="1">
      <alignment horizontal="right" vertical="center"/>
    </xf>
    <xf numFmtId="0" fontId="0" fillId="0" borderId="0" xfId="0"/>
    <xf numFmtId="0" fontId="34" fillId="5" borderId="10" xfId="0" applyFont="1" applyFill="1" applyBorder="1" applyAlignment="1">
      <alignment horizontal="right" vertical="center"/>
    </xf>
    <xf numFmtId="0" fontId="0" fillId="0" borderId="11" xfId="0" applyBorder="1"/>
    <xf numFmtId="0" fontId="9" fillId="19" borderId="34" xfId="0" applyFont="1" applyFill="1" applyBorder="1" applyAlignment="1" applyProtection="1">
      <alignment horizontal="center" vertical="center"/>
      <protection locked="0"/>
    </xf>
    <xf numFmtId="0" fontId="0" fillId="10" borderId="38" xfId="0" applyFill="1" applyBorder="1" applyAlignment="1" applyProtection="1">
      <alignment vertical="center"/>
      <protection locked="0"/>
    </xf>
    <xf numFmtId="0" fontId="54" fillId="9" borderId="57" xfId="1" applyNumberFormat="1" applyFont="1" applyFill="1" applyBorder="1" applyAlignment="1" applyProtection="1">
      <alignment horizontal="center" vertical="center"/>
      <protection locked="0"/>
    </xf>
    <xf numFmtId="0" fontId="54" fillId="9" borderId="53" xfId="1" applyFont="1" applyFill="1" applyBorder="1" applyAlignment="1" applyProtection="1">
      <alignment horizontal="center" vertical="center"/>
    </xf>
    <xf numFmtId="0" fontId="13" fillId="11" borderId="0" xfId="0" applyFont="1" applyFill="1" applyAlignment="1">
      <alignment vertical="center" wrapText="1"/>
    </xf>
  </cellXfs>
  <cellStyles count="39">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Hyperlink" xfId="1" builtinId="8"/>
    <cellStyle name="Hyperlink 2" xfId="2" xr:uid="{00000000-0005-0000-0000-000024000000}"/>
    <cellStyle name="Normal" xfId="0" builtinId="0"/>
    <cellStyle name="Normal 2" xfId="3" xr:uid="{00000000-0005-0000-0000-000026000000}"/>
  </cellStyles>
  <dxfs count="79">
    <dxf>
      <fill>
        <patternFill>
          <bgColor indexed="10"/>
        </patternFill>
      </fill>
    </dxf>
    <dxf>
      <font>
        <b/>
        <i val="0"/>
        <color auto="1"/>
      </font>
    </dxf>
    <dxf>
      <font>
        <b/>
        <i val="0"/>
        <color auto="1"/>
      </font>
    </dxf>
    <dxf>
      <font>
        <color rgb="FFFF0000"/>
      </font>
    </dxf>
    <dxf>
      <font>
        <color rgb="FFFF0000"/>
      </font>
    </dxf>
    <dxf>
      <font>
        <color rgb="FFFF0000"/>
      </font>
    </dxf>
    <dxf>
      <fill>
        <patternFill>
          <bgColor theme="0"/>
        </patternFill>
      </fill>
    </dxf>
    <dxf>
      <font>
        <color rgb="FFFF0000"/>
      </font>
    </dxf>
    <dxf>
      <font>
        <color rgb="FFFF0000"/>
      </font>
    </dxf>
    <dxf>
      <font>
        <color rgb="FFFF0000"/>
      </font>
    </dxf>
    <dxf>
      <font>
        <color rgb="FFFF0000"/>
      </font>
    </dxf>
    <dxf>
      <font>
        <color rgb="FFFF0000"/>
      </font>
    </dxf>
    <dxf>
      <fill>
        <patternFill>
          <bgColor theme="0"/>
        </patternFill>
      </fill>
    </dxf>
    <dxf>
      <font>
        <color rgb="FFFF0000"/>
      </font>
    </dxf>
    <dxf>
      <font>
        <color rgb="FFFF0000"/>
      </font>
    </dxf>
    <dxf>
      <font>
        <color rgb="FFFF0000"/>
      </font>
    </dxf>
    <dxf>
      <fill>
        <patternFill>
          <bgColor theme="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0"/>
        </patternFill>
      </fill>
    </dxf>
    <dxf>
      <font>
        <color rgb="FF008000"/>
      </font>
    </dxf>
    <dxf>
      <font>
        <color rgb="FFFF0000"/>
      </font>
      <fill>
        <patternFill patternType="none">
          <bgColor indexed="65"/>
        </patternFill>
      </fill>
    </dxf>
    <dxf>
      <fill>
        <patternFill>
          <bgColor theme="0"/>
        </patternFill>
      </fill>
    </dxf>
    <dxf>
      <font>
        <color rgb="FFFF0000"/>
      </font>
    </dxf>
    <dxf>
      <font>
        <color rgb="FFFF0000"/>
      </font>
    </dxf>
    <dxf>
      <fill>
        <patternFill>
          <bgColor theme="0"/>
        </patternFill>
      </fill>
    </dxf>
    <dxf>
      <font>
        <color rgb="FFFF0000"/>
      </font>
    </dxf>
    <dxf>
      <font>
        <color rgb="FFFF0000"/>
      </font>
    </dxf>
    <dxf>
      <fill>
        <patternFill>
          <bgColor theme="0"/>
        </patternFill>
      </fill>
    </dxf>
    <dxf>
      <font>
        <color rgb="FFFF0000"/>
      </font>
    </dxf>
    <dxf>
      <fill>
        <patternFill>
          <bgColor theme="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auto="1"/>
      </font>
    </dxf>
    <dxf>
      <font>
        <color auto="1"/>
      </font>
    </dxf>
    <dxf>
      <font>
        <color rgb="FFFF0000"/>
      </font>
    </dxf>
    <dxf>
      <fill>
        <patternFill>
          <bgColor theme="0"/>
        </patternFill>
      </fill>
    </dxf>
    <dxf>
      <font>
        <color auto="1"/>
      </font>
    </dxf>
    <dxf>
      <font>
        <color rgb="FFFF0000"/>
      </font>
    </dxf>
    <dxf>
      <fill>
        <patternFill>
          <bgColor theme="0" tint="-0.14996795556505021"/>
        </patternFill>
      </fill>
    </dxf>
    <dxf>
      <fill>
        <patternFill>
          <bgColor indexed="10"/>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rgb="FFFFFFCC"/>
        </patternFill>
      </fill>
    </dxf>
    <dxf>
      <font>
        <b/>
        <i val="0"/>
        <color rgb="FF008000"/>
      </font>
    </dxf>
    <dxf>
      <fill>
        <patternFill>
          <bgColor theme="0" tint="-0.14996795556505021"/>
        </patternFill>
      </fill>
    </dxf>
    <dxf>
      <font>
        <b/>
        <i val="0"/>
        <condense val="0"/>
        <extend val="0"/>
        <color indexed="10"/>
      </font>
    </dxf>
    <dxf>
      <fill>
        <patternFill>
          <bgColor theme="0" tint="-0.14996795556505021"/>
        </patternFill>
      </fill>
    </dxf>
    <dxf>
      <font>
        <color rgb="FFFF0000"/>
      </font>
    </dxf>
    <dxf>
      <font>
        <b/>
        <i val="0"/>
        <color rgb="FF008000"/>
      </font>
    </dxf>
    <dxf>
      <fill>
        <patternFill>
          <bgColor indexed="10"/>
        </patternFill>
      </fill>
    </dxf>
    <dxf>
      <font>
        <b/>
        <i val="0"/>
        <color rgb="FFFF0000"/>
      </font>
      <fill>
        <patternFill patternType="solid">
          <bgColor theme="0" tint="-0.14996795556505021"/>
        </patternFill>
      </fill>
    </dxf>
    <dxf>
      <font>
        <b/>
        <i val="0"/>
        <color rgb="FFFF0000"/>
        <name val="Cambria"/>
        <scheme val="none"/>
      </font>
      <fill>
        <patternFill patternType="solid">
          <bgColor theme="0" tint="-0.14996795556505021"/>
        </patternFill>
      </fill>
    </dxf>
    <dxf>
      <font>
        <color rgb="FFFF0000"/>
      </font>
    </dxf>
    <dxf>
      <font>
        <color rgb="FFFF0000"/>
      </font>
    </dxf>
    <dxf>
      <font>
        <color rgb="FFFF0000"/>
      </font>
    </dxf>
    <dxf>
      <font>
        <color auto="1"/>
      </font>
      <fill>
        <patternFill>
          <bgColor rgb="FFEAEAEA"/>
        </patternFill>
      </fill>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FFFFCC"/>
      <color rgb="FFEAEAEA"/>
      <color rgb="FF99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20</xdr:row>
      <xdr:rowOff>0</xdr:rowOff>
    </xdr:to>
    <xdr:sp macro="" textlink="">
      <xdr:nvSpPr>
        <xdr:cNvPr id="11695" name="Rectangle 11">
          <a:extLst>
            <a:ext uri="{FF2B5EF4-FFF2-40B4-BE49-F238E27FC236}">
              <a16:creationId xmlns:a16="http://schemas.microsoft.com/office/drawing/2014/main" id="{00000000-0008-0000-0000-0000AF2D0000}"/>
            </a:ext>
          </a:extLst>
        </xdr:cNvPr>
        <xdr:cNvSpPr>
          <a:spLocks noChangeArrowheads="1"/>
        </xdr:cNvSpPr>
      </xdr:nvSpPr>
      <xdr:spPr bwMode="auto">
        <a:xfrm>
          <a:off x="0" y="0"/>
          <a:ext cx="11410950" cy="7343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a:extLst>
          <a:ext uri="{909E8E84-426E-40dd-AFC4-6F175D3DCCD1}">
            <a14:hiddenFill xmlns=""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 xmlns:a14="http://schemas.microsoft.com/office/drawing/2010/main" val="1"/>
          </a:ext>
        </a:extLst>
      </xdr:spPr>
    </xdr:sp>
    <xdr:clientData/>
  </xdr:twoCellAnchor>
  <xdr:twoCellAnchor>
    <xdr:from>
      <xdr:col>1</xdr:col>
      <xdr:colOff>985839</xdr:colOff>
      <xdr:row>12</xdr:row>
      <xdr:rowOff>57150</xdr:rowOff>
    </xdr:from>
    <xdr:to>
      <xdr:col>1</xdr:col>
      <xdr:colOff>1400175</xdr:colOff>
      <xdr:row>15</xdr:row>
      <xdr:rowOff>352425</xdr:rowOff>
    </xdr:to>
    <xdr:sp macro="" textlink="">
      <xdr:nvSpPr>
        <xdr:cNvPr id="4" name="Striped Right Arrow 3">
          <a:extLst>
            <a:ext uri="{FF2B5EF4-FFF2-40B4-BE49-F238E27FC236}">
              <a16:creationId xmlns:a16="http://schemas.microsoft.com/office/drawing/2014/main" id="{00000000-0008-0000-0000-000004000000}"/>
            </a:ext>
          </a:extLst>
        </xdr:cNvPr>
        <xdr:cNvSpPr/>
      </xdr:nvSpPr>
      <xdr:spPr>
        <a:xfrm rot="5400000">
          <a:off x="992982" y="6288882"/>
          <a:ext cx="838200" cy="414336"/>
        </a:xfrm>
        <a:prstGeom prst="stripedRightArrow">
          <a:avLst/>
        </a:prstGeom>
        <a:gradFill flip="none" rotWithShape="1">
          <a:gsLst>
            <a:gs pos="0">
              <a:srgbClr val="00B050">
                <a:tint val="66000"/>
                <a:satMod val="160000"/>
              </a:srgbClr>
            </a:gs>
            <a:gs pos="50000">
              <a:srgbClr val="00B050">
                <a:tint val="44500"/>
                <a:satMod val="160000"/>
              </a:srgbClr>
            </a:gs>
            <a:gs pos="100000">
              <a:srgbClr val="00B050">
                <a:tint val="23500"/>
                <a:satMod val="160000"/>
              </a:srgbClr>
            </a:gs>
          </a:gsLst>
          <a:path path="circle">
            <a:fillToRect t="100000" r="100000"/>
          </a:path>
          <a:tileRect l="-100000" b="-100000"/>
        </a:gradFill>
        <a:ln>
          <a:solidFill>
            <a:schemeClr val="accent5"/>
          </a:solidFill>
        </a:ln>
        <a:effectLst>
          <a:glow rad="63500">
            <a:schemeClr val="accent3">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0</xdr:colOff>
      <xdr:row>19</xdr:row>
      <xdr:rowOff>0</xdr:rowOff>
    </xdr:to>
    <xdr:sp macro="" textlink="">
      <xdr:nvSpPr>
        <xdr:cNvPr id="4743" name="Rectangle 1">
          <a:extLst>
            <a:ext uri="{FF2B5EF4-FFF2-40B4-BE49-F238E27FC236}">
              <a16:creationId xmlns:a16="http://schemas.microsoft.com/office/drawing/2014/main" id="{00000000-0008-0000-0300-000087120000}"/>
            </a:ext>
          </a:extLst>
        </xdr:cNvPr>
        <xdr:cNvSpPr>
          <a:spLocks noChangeArrowheads="1"/>
        </xdr:cNvSpPr>
      </xdr:nvSpPr>
      <xdr:spPr bwMode="auto">
        <a:xfrm>
          <a:off x="200025" y="933450"/>
          <a:ext cx="4714875" cy="3028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a:extLst>
          <a:ext uri="{909E8E84-426E-40dd-AFC4-6F175D3DCCD1}">
            <a14:hiddenFill xmlns=""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 xmlns:a14="http://schemas.microsoft.com/office/drawing/2010/main" val="1"/>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abih.org/maintain-certification/teaching-presenting" TargetMode="External"/><Relationship Id="rId3" Type="http://schemas.openxmlformats.org/officeDocument/2006/relationships/hyperlink" Target="http://www.abih.org/maintain-certification/active-practice" TargetMode="External"/><Relationship Id="rId7" Type="http://schemas.openxmlformats.org/officeDocument/2006/relationships/hyperlink" Target="http://www.abih.org/content/7-other" TargetMode="External"/><Relationship Id="rId2" Type="http://schemas.openxmlformats.org/officeDocument/2006/relationships/hyperlink" Target="http://www.abih.org/maintain-certification/publications" TargetMode="External"/><Relationship Id="rId1" Type="http://schemas.openxmlformats.org/officeDocument/2006/relationships/hyperlink" Target="http://www.bgc.org/maintain-certification/committees" TargetMode="External"/><Relationship Id="rId6" Type="http://schemas.openxmlformats.org/officeDocument/2006/relationships/hyperlink" Target="http://www.abih.org/maintain-certification/minimum-requirements" TargetMode="External"/><Relationship Id="rId11" Type="http://schemas.openxmlformats.org/officeDocument/2006/relationships/comments" Target="../comments2.xml"/><Relationship Id="rId5" Type="http://schemas.openxmlformats.org/officeDocument/2006/relationships/hyperlink" Target="http://portal.abih.org/members/roster/login.cfm" TargetMode="External"/><Relationship Id="rId10" Type="http://schemas.openxmlformats.org/officeDocument/2006/relationships/vmlDrawing" Target="../drawings/vmlDrawing2.vml"/><Relationship Id="rId4" Type="http://schemas.openxmlformats.org/officeDocument/2006/relationships/hyperlink" Target="http://www.abih.org/maintain-certification/education" TargetMode="External"/><Relationship Id="rId9"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showGridLines="0" workbookViewId="0"/>
  </sheetViews>
  <sheetFormatPr defaultColWidth="8.85546875" defaultRowHeight="12.75" x14ac:dyDescent="0.2"/>
  <cols>
    <col min="1" max="1" width="3.42578125" customWidth="1"/>
    <col min="2" max="2" width="29" customWidth="1"/>
    <col min="3" max="3" width="34.5703125" customWidth="1"/>
    <col min="4" max="4" width="8" customWidth="1"/>
    <col min="5" max="5" width="68.5703125" customWidth="1"/>
    <col min="9" max="9" width="3.42578125" customWidth="1"/>
  </cols>
  <sheetData>
    <row r="1" spans="1:9" s="1" customFormat="1" ht="46.5" customHeight="1" x14ac:dyDescent="0.2">
      <c r="A1" s="247" t="s">
        <v>352</v>
      </c>
      <c r="B1" s="230"/>
      <c r="C1" s="230"/>
      <c r="D1" s="230"/>
      <c r="E1" s="230"/>
      <c r="F1" s="230"/>
      <c r="G1" s="230"/>
      <c r="H1" s="230"/>
      <c r="I1" s="209"/>
    </row>
    <row r="2" spans="1:9" ht="48" customHeight="1" x14ac:dyDescent="0.2">
      <c r="A2" s="3"/>
      <c r="B2" s="249" t="s">
        <v>355</v>
      </c>
      <c r="C2" s="23"/>
      <c r="H2" s="4"/>
      <c r="I2" s="211"/>
    </row>
    <row r="3" spans="1:9" s="1" customFormat="1" ht="52.5" customHeight="1" x14ac:dyDescent="0.2">
      <c r="A3" s="5"/>
      <c r="B3" s="120" t="s">
        <v>363</v>
      </c>
      <c r="C3" s="409" t="s">
        <v>361</v>
      </c>
      <c r="D3" s="410"/>
      <c r="E3" s="410"/>
      <c r="F3" s="410"/>
      <c r="G3" s="410"/>
      <c r="H3" s="411"/>
      <c r="I3" s="209"/>
    </row>
    <row r="4" spans="1:9" s="127" customFormat="1" ht="69.75" customHeight="1" x14ac:dyDescent="0.2">
      <c r="A4" s="157"/>
      <c r="C4" s="412" t="s">
        <v>356</v>
      </c>
      <c r="D4" s="413"/>
      <c r="E4" s="413"/>
      <c r="F4" s="413"/>
      <c r="G4" s="413"/>
      <c r="H4" s="414"/>
      <c r="I4" s="210"/>
    </row>
    <row r="5" spans="1:9" ht="52.5" customHeight="1" x14ac:dyDescent="0.2">
      <c r="A5" s="3"/>
      <c r="B5" s="250" t="s">
        <v>357</v>
      </c>
      <c r="C5" s="245"/>
      <c r="H5" s="4"/>
      <c r="I5" s="211"/>
    </row>
    <row r="6" spans="1:9" ht="52.5" customHeight="1" x14ac:dyDescent="0.2">
      <c r="A6" s="3"/>
      <c r="C6" s="246"/>
      <c r="H6" s="4"/>
      <c r="I6" s="211"/>
    </row>
    <row r="7" spans="1:9" ht="52.5" customHeight="1" x14ac:dyDescent="0.2">
      <c r="A7" s="3"/>
      <c r="B7" s="251" t="s">
        <v>360</v>
      </c>
      <c r="C7" s="245" t="s">
        <v>362</v>
      </c>
      <c r="H7" s="4"/>
      <c r="I7" s="211"/>
    </row>
    <row r="8" spans="1:9" ht="18" customHeight="1" x14ac:dyDescent="0.2">
      <c r="C8" s="254" t="s">
        <v>367</v>
      </c>
      <c r="I8" s="211"/>
    </row>
    <row r="9" spans="1:9" ht="20.25" customHeight="1" x14ac:dyDescent="0.2">
      <c r="A9" s="415"/>
      <c r="B9" s="415"/>
      <c r="C9" s="415"/>
      <c r="I9" s="211"/>
    </row>
    <row r="10" spans="1:9" ht="22.7" customHeight="1" x14ac:dyDescent="0.3">
      <c r="A10" s="118"/>
      <c r="B10" s="126" t="s">
        <v>283</v>
      </c>
      <c r="C10" s="206"/>
      <c r="I10" s="211"/>
    </row>
    <row r="11" spans="1:9" ht="18.75" x14ac:dyDescent="0.3">
      <c r="A11" s="51"/>
      <c r="E11" s="255" t="s">
        <v>368</v>
      </c>
      <c r="I11" s="211"/>
    </row>
    <row r="12" spans="1:9" ht="17.25" customHeight="1" x14ac:dyDescent="0.3">
      <c r="A12" s="51" t="s">
        <v>232</v>
      </c>
      <c r="I12" s="211"/>
    </row>
    <row r="13" spans="1:9" ht="14.25" customHeight="1" x14ac:dyDescent="0.2">
      <c r="I13" s="211"/>
    </row>
    <row r="14" spans="1:9" ht="14.25" customHeight="1" x14ac:dyDescent="0.2">
      <c r="I14" s="211"/>
    </row>
    <row r="15" spans="1:9" ht="14.25" customHeight="1" x14ac:dyDescent="0.2">
      <c r="I15" s="211"/>
    </row>
    <row r="16" spans="1:9" s="1" customFormat="1" ht="33" customHeight="1" x14ac:dyDescent="0.2">
      <c r="D16"/>
      <c r="E16"/>
      <c r="F16"/>
      <c r="G16"/>
      <c r="H16"/>
      <c r="I16" s="209"/>
    </row>
    <row r="17" spans="1:9" ht="18" customHeight="1" x14ac:dyDescent="0.2">
      <c r="I17" s="211"/>
    </row>
    <row r="18" spans="1:9" ht="12.75" customHeight="1" x14ac:dyDescent="0.2">
      <c r="I18" s="211"/>
    </row>
    <row r="19" spans="1:9" ht="21.75" customHeight="1" x14ac:dyDescent="0.2">
      <c r="I19" s="211"/>
    </row>
    <row r="20" spans="1:9" x14ac:dyDescent="0.2">
      <c r="I20" s="211"/>
    </row>
    <row r="21" spans="1:9" x14ac:dyDescent="0.2">
      <c r="A21" s="211"/>
      <c r="B21" s="211"/>
      <c r="C21" s="211"/>
      <c r="I21" s="211"/>
    </row>
  </sheetData>
  <sheetProtection password="E406" sheet="1" objects="1" scenarios="1"/>
  <mergeCells count="3">
    <mergeCell ref="C3:H3"/>
    <mergeCell ref="C4:H4"/>
    <mergeCell ref="A9:C9"/>
  </mergeCells>
  <phoneticPr fontId="4" type="noConversion"/>
  <dataValidations count="1">
    <dataValidation type="list" allowBlank="1" showInputMessage="1" showErrorMessage="1" sqref="B3" xr:uid="{00000000-0002-0000-0000-000000000000}">
      <formula1>yesno</formula1>
    </dataValidation>
  </dataValidations>
  <hyperlinks>
    <hyperlink ref="B10:C10" location="CMW!A1" display="To get started, click here" xr:uid="{00000000-0004-0000-0000-000000000000}"/>
  </hyperlinks>
  <pageMargins left="0.75" right="0.75" top="1" bottom="1" header="0.5" footer="0.5"/>
  <pageSetup orientation="landscape"/>
  <headerFooter alignWithMargins="0">
    <oddFooter>&amp;COctober 31, 2014</oddFooter>
  </headerFooter>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AY197"/>
  <sheetViews>
    <sheetView showGridLines="0" tabSelected="1" zoomScale="130" zoomScaleNormal="130" zoomScaleSheetLayoutView="80" zoomScalePageLayoutView="160" workbookViewId="0">
      <selection activeCell="C164" sqref="C164"/>
    </sheetView>
  </sheetViews>
  <sheetFormatPr defaultColWidth="9.140625" defaultRowHeight="12.75" x14ac:dyDescent="0.2"/>
  <cols>
    <col min="1" max="1" width="10.5703125" style="15" customWidth="1"/>
    <col min="2" max="2" width="10.85546875" style="15" customWidth="1"/>
    <col min="3" max="3" width="45.42578125" style="6" customWidth="1"/>
    <col min="4" max="4" width="11.140625" style="6" customWidth="1"/>
    <col min="5" max="5" width="14.140625" style="6" customWidth="1"/>
    <col min="6" max="6" width="11.85546875" style="6" customWidth="1"/>
    <col min="7" max="7" width="34.42578125" style="293" customWidth="1"/>
    <col min="8" max="8" width="35.5703125" style="286" customWidth="1"/>
    <col min="9" max="9" width="15.85546875" style="294" customWidth="1"/>
    <col min="10" max="10" width="8.5703125" style="288" customWidth="1"/>
    <col min="11" max="11" width="8.42578125" style="288" customWidth="1"/>
    <col min="12" max="12" width="7.85546875" style="288" customWidth="1"/>
    <col min="13" max="13" width="9.42578125" style="288" customWidth="1"/>
    <col min="14" max="14" width="10.85546875" style="288" customWidth="1"/>
    <col min="15" max="15" width="7.5703125" style="288" customWidth="1"/>
    <col min="16" max="16" width="9.140625" style="292"/>
    <col min="17" max="17" width="16" style="292" customWidth="1"/>
    <col min="18" max="26" width="9.140625" style="292"/>
    <col min="27" max="34" width="9.140625" style="286"/>
    <col min="35" max="51" width="9.140625" style="236"/>
    <col min="52" max="16384" width="9.140625" style="6"/>
  </cols>
  <sheetData>
    <row r="1" spans="1:51" ht="48" customHeight="1" thickBot="1" x14ac:dyDescent="0.55000000000000004">
      <c r="A1" s="258"/>
      <c r="B1" s="259"/>
      <c r="C1" s="260" t="s">
        <v>378</v>
      </c>
      <c r="D1" s="261"/>
      <c r="E1" s="261"/>
      <c r="F1" s="267" t="s">
        <v>302</v>
      </c>
      <c r="G1" s="215"/>
      <c r="H1" s="361"/>
      <c r="I1" s="361"/>
      <c r="J1" s="362"/>
      <c r="K1" s="363">
        <v>54</v>
      </c>
      <c r="L1" s="363">
        <v>60</v>
      </c>
      <c r="M1" s="363" t="s">
        <v>296</v>
      </c>
      <c r="N1" s="363" t="s">
        <v>297</v>
      </c>
      <c r="O1" s="363" t="s">
        <v>298</v>
      </c>
      <c r="P1" s="363" t="s">
        <v>299</v>
      </c>
      <c r="Q1" s="364" t="s">
        <v>301</v>
      </c>
      <c r="R1" s="364" t="s">
        <v>441</v>
      </c>
      <c r="S1" s="365" t="s">
        <v>225</v>
      </c>
      <c r="T1" s="366"/>
      <c r="U1" s="365" t="s">
        <v>226</v>
      </c>
      <c r="V1" s="361"/>
      <c r="W1" s="366"/>
      <c r="X1" s="367"/>
      <c r="Y1" s="367"/>
      <c r="Z1" s="361"/>
      <c r="AA1" s="361"/>
      <c r="AB1" s="361"/>
      <c r="AC1" s="361"/>
      <c r="AD1" s="361"/>
      <c r="AE1" s="361"/>
      <c r="AF1" s="361"/>
      <c r="AG1" s="361"/>
      <c r="AH1" s="361"/>
      <c r="AI1" s="235"/>
      <c r="AJ1" s="235"/>
    </row>
    <row r="2" spans="1:51" ht="22.7" customHeight="1" x14ac:dyDescent="0.2">
      <c r="A2" s="262"/>
      <c r="B2" s="263"/>
      <c r="C2" s="29"/>
      <c r="D2" s="439" t="s">
        <v>45</v>
      </c>
      <c r="E2" s="440"/>
      <c r="F2" s="212">
        <f>Category_1_Points+Category_2_Points+Category_3_Points+Cat_4_Points+Category_5_Points+Category_7_Points</f>
        <v>0</v>
      </c>
      <c r="G2" s="216" t="str">
        <f>IF(K5=TRUE,"",IF(S4=1,X3,IF(L5=TRUE,"",X2&amp;Q4&amp;Y2)))</f>
        <v>You still need at least 40 points to recertify</v>
      </c>
      <c r="H2" s="361"/>
      <c r="I2" s="366" t="s">
        <v>425</v>
      </c>
      <c r="J2" s="366" t="b">
        <f>OR(E5="CPPS",E5="CIH w/IEQ")</f>
        <v>1</v>
      </c>
      <c r="K2" s="366" t="b">
        <f>AND(J2=TRUE,E6="54 months",OR(E9="Cycle Extension",E9=""))</f>
        <v>0</v>
      </c>
      <c r="L2" s="366" t="b">
        <f>AND(J2=TRUE,E6="60 months",OR(E9="",E9="Cycle Extension"))</f>
        <v>1</v>
      </c>
      <c r="M2" s="366" t="b">
        <f>AND(J2=TRUE,E6="54 Months",E9="Leave of Absence 1 Year")</f>
        <v>0</v>
      </c>
      <c r="N2" s="366" t="b">
        <f>AND(J2=TRUE,E6="54 Months",E9="Leave of Absence 2 Years")</f>
        <v>0</v>
      </c>
      <c r="O2" s="366" t="b">
        <f>AND(J2=TRUE,E6="60 Months",E9="Leave of Absence 1 Year")</f>
        <v>0</v>
      </c>
      <c r="P2" s="366" t="b">
        <f>AND(J2=TRUE,E6="60 Months",E9="Leave of Absence 2 Years")</f>
        <v>0</v>
      </c>
      <c r="Q2" s="366">
        <f>IF(J2=FALSE,0,IF(K2=TRUE,36,IF(L2=TRUE,40,IF(M2=TRUE,28.8,IF(N2=TRUE,21.6,IF(O2=TRUE,32,24))))))</f>
        <v>40</v>
      </c>
      <c r="R2" s="366">
        <f>IF(J2=FALSE,0,IF(K2=TRUE,9,IF(L2=TRUE,5,IF(M2=TRUE,7.2,IF(N2=TRUE,5.4,IF(O2=TRUE,4,3))))))</f>
        <v>5</v>
      </c>
      <c r="S2" s="366" t="b">
        <f>IF(AND(K2=TRUE,F2&gt;=36),TRUE,IF(AND(L2=TRUE,F2&gt;=40),TRUE,IF(AND(M2=TRUE,F2&gt;=28.8),TRUE,IF(AND(N2=TRUE,F2&gt;=21.6),TRUE,IF(AND(O2=TRUE,F2&gt;=32),TRUE,IF(AND(P2=TRUE,F2&gt;24),TRUE,FALSE))))))</f>
        <v>0</v>
      </c>
      <c r="T2" s="366"/>
      <c r="U2" s="366" t="b">
        <f>IF(AND(K2=TRUE,F3&gt;=9),TRUE,IF(AND(L2=TRUE,F3&gt;=5),TRUE,IF(AND(M2=TRUE,F3&gt;=7.2),TRUE,IF(AND(N2=TRUE,F3&gt;=5.4),TRUE,IF(AND(O2=TRUE,F3&gt;=8),TRUE,IF(AND(P2=TRUE,F3&gt;6),TRUE,FALSE))))))</f>
        <v>0</v>
      </c>
      <c r="V2" s="366"/>
      <c r="W2" s="367"/>
      <c r="X2" s="361" t="s">
        <v>440</v>
      </c>
      <c r="Y2" s="361" t="s">
        <v>300</v>
      </c>
      <c r="Z2" s="361"/>
      <c r="AA2" s="361"/>
      <c r="AB2" s="361"/>
      <c r="AC2" s="361"/>
      <c r="AD2" s="361"/>
      <c r="AE2" s="361"/>
      <c r="AF2" s="361"/>
      <c r="AG2" s="361"/>
      <c r="AH2" s="361"/>
      <c r="AI2" s="235"/>
      <c r="AJ2" s="235"/>
    </row>
    <row r="3" spans="1:51" ht="22.7" customHeight="1" x14ac:dyDescent="0.2">
      <c r="A3" s="436" t="str">
        <f>IF(C5="","Note - If you add information with a cut-and-paste technique, use a right-click to paste as values or unformatted so that the CMW's formatting will be retained.","")</f>
        <v>Note - If you add information with a cut-and-paste technique, use a right-click to paste as values or unformatted so that the CMW's formatting will be retained.</v>
      </c>
      <c r="B3" s="437"/>
      <c r="C3" s="438"/>
      <c r="D3" s="441" t="s">
        <v>431</v>
      </c>
      <c r="E3" s="442"/>
      <c r="F3" s="213">
        <f>F43</f>
        <v>0</v>
      </c>
      <c r="G3" s="216" t="str">
        <f>IF(K5=TRUE,"",IF(U4=1,Y3,IF(L5=TRUE,"",X2&amp;ROUND(R4-F3,2)&amp;Y2)))</f>
        <v>You still need at least 5 points to recertify</v>
      </c>
      <c r="H3" s="361"/>
      <c r="I3" s="366" t="s">
        <v>19</v>
      </c>
      <c r="J3" s="366" t="b">
        <f>AND(E5="CAIH")</f>
        <v>0</v>
      </c>
      <c r="K3" s="366" t="b">
        <f>AND(E5="CAIH",E6="54 months",OR(E9="",E9="Cycle Extension"))</f>
        <v>0</v>
      </c>
      <c r="L3" s="366" t="b">
        <f>AND(E5="CAIH",E6="60 Months",OR(E9="",E9="Cycle Extension"))</f>
        <v>0</v>
      </c>
      <c r="M3" s="366" t="b">
        <f>AND(J3=TRUE,E6="54 Months",E9="Leave of Absence 1 Year")</f>
        <v>0</v>
      </c>
      <c r="N3" s="366" t="b">
        <f>AND(J3=TRUE,E6="54 Months",E9="Leave of Absence 2 Years")</f>
        <v>0</v>
      </c>
      <c r="O3" s="366" t="b">
        <f>AND(J3=TRUE,E6="60 Months",E9="Leave of Absence 1 Year")</f>
        <v>0</v>
      </c>
      <c r="P3" s="366" t="b">
        <f>AND(J3=TRUE,E6="60 Months",E9="Leave of Absence 2 Years")</f>
        <v>0</v>
      </c>
      <c r="Q3" s="366">
        <f>IF(J3=FALSE,0,IF(K3=TRUE,31.5,IF(L3=TRUE,35,IF(M3=TRUE,25.2,IF(N3=TRUE,18.9,IF(O3=TRUE,28,21))))))</f>
        <v>0</v>
      </c>
      <c r="R3" s="366">
        <f>IF(J3=FALSE,0,IF(K3=TRUE,9,IF(L3=TRUE,10,IF(M3=TRUE,7.2,IF(N3=TRUE,5.4,IF(O3=TRUE,8,6))))))</f>
        <v>0</v>
      </c>
      <c r="S3" s="366" t="b">
        <f>OR(AND(K3=TRUE,F2&gt;=31.5),AND(L3=TRUE,F2&gt;=35),AND(M3=TRUE,F2&gt;=25.2),AND(N3=TRUE,F2&gt;=18.9),AND(O3=TRUE,F2&gt;=28),AND(P3=TRUE,F2&gt;=21))</f>
        <v>0</v>
      </c>
      <c r="T3" s="366"/>
      <c r="U3" s="366" t="b">
        <f>OR(AND(K3=TRUE,F2&gt;=9),AND(L3=TRUE,F2&gt;=10),AND(M3=TRUE,F2&gt;=7.2),AND(N3=TRUE,F2&gt;=5.4),AND(O3=TRUE,F2&gt;=8),AND(P3=TRUE,F2&gt;=6))</f>
        <v>0</v>
      </c>
      <c r="V3" s="366"/>
      <c r="W3" s="367"/>
      <c r="X3" s="361" t="s">
        <v>379</v>
      </c>
      <c r="Y3" s="361" t="s">
        <v>380</v>
      </c>
      <c r="Z3" s="361" t="s">
        <v>381</v>
      </c>
      <c r="AA3" s="361"/>
      <c r="AB3" s="361"/>
      <c r="AC3" s="361"/>
      <c r="AD3" s="361"/>
      <c r="AE3" s="361"/>
      <c r="AF3" s="361"/>
      <c r="AG3" s="361"/>
      <c r="AH3" s="361"/>
      <c r="AI3" s="235"/>
      <c r="AJ3" s="235"/>
    </row>
    <row r="4" spans="1:51" s="7" customFormat="1" ht="22.7" customHeight="1" thickBot="1" x14ac:dyDescent="0.25">
      <c r="A4" s="264" t="s">
        <v>264</v>
      </c>
      <c r="B4" s="265"/>
      <c r="C4" s="266"/>
      <c r="D4" s="443" t="s">
        <v>432</v>
      </c>
      <c r="E4" s="444"/>
      <c r="F4" s="214">
        <f>F44</f>
        <v>0</v>
      </c>
      <c r="G4" s="217" t="str">
        <f>IF(K5="","",IF(L5=TRUE,"",IF(F4&gt;=0.33,Z3,"You need at least 0.33 IH Ethics point to recertify")))</f>
        <v>You need at least 0.33 IH Ethics point to recertify</v>
      </c>
      <c r="H4" s="367"/>
      <c r="I4" s="367"/>
      <c r="J4" s="367"/>
      <c r="K4" s="367"/>
      <c r="L4" s="367"/>
      <c r="M4" s="367"/>
      <c r="N4" s="367"/>
      <c r="O4" s="367"/>
      <c r="P4" s="367"/>
      <c r="Q4" s="366">
        <f>SUM(Q2:Q3)</f>
        <v>40</v>
      </c>
      <c r="R4" s="366">
        <f>SUM(R2:R3)</f>
        <v>5</v>
      </c>
      <c r="S4" s="367">
        <f>COUNTIF(S2:S3,TRUE)</f>
        <v>0</v>
      </c>
      <c r="T4" s="367"/>
      <c r="U4" s="367">
        <f>COUNTIF(U2:U3,TRUE)</f>
        <v>0</v>
      </c>
      <c r="V4" s="367"/>
      <c r="W4" s="366"/>
      <c r="X4" s="367"/>
      <c r="Y4" s="367">
        <f>COUNTIF(U2:V3,TRUE)</f>
        <v>0</v>
      </c>
      <c r="Z4" s="367"/>
      <c r="AA4" s="367"/>
      <c r="AB4" s="367"/>
      <c r="AC4" s="367"/>
      <c r="AD4" s="367"/>
      <c r="AE4" s="367"/>
      <c r="AF4" s="367"/>
      <c r="AG4" s="367"/>
      <c r="AH4" s="367"/>
      <c r="AI4" s="237"/>
      <c r="AJ4" s="237"/>
      <c r="AK4" s="238"/>
      <c r="AL4" s="238"/>
      <c r="AM4" s="238"/>
      <c r="AN4" s="238"/>
      <c r="AO4" s="238"/>
      <c r="AP4" s="238"/>
      <c r="AQ4" s="238"/>
      <c r="AR4" s="238"/>
      <c r="AS4" s="238"/>
      <c r="AT4" s="238"/>
      <c r="AU4" s="238"/>
      <c r="AV4" s="238"/>
      <c r="AW4" s="238"/>
      <c r="AX4" s="238"/>
      <c r="AY4" s="238"/>
    </row>
    <row r="5" spans="1:51" s="7" customFormat="1" ht="30.75" customHeight="1" x14ac:dyDescent="0.2">
      <c r="A5" s="84"/>
      <c r="B5" s="173" t="s">
        <v>16</v>
      </c>
      <c r="C5" s="322"/>
      <c r="D5" s="184" t="s">
        <v>222</v>
      </c>
      <c r="E5" s="445" t="s">
        <v>425</v>
      </c>
      <c r="F5" s="446"/>
      <c r="G5" s="216" t="str">
        <f>IF(ISNUMBER(SEARCH("IEQ",E5)),"As a CIH w/IEQ, at least 5 IH points in Category 4 must relate to air quality aspects",IF(L5=TRUE,"Enter your Certification Type and Cycle Length to enable the calculations &amp; warning messages.",""))</f>
        <v/>
      </c>
      <c r="H5" s="368"/>
      <c r="I5" s="361"/>
      <c r="J5" s="369" t="s">
        <v>227</v>
      </c>
      <c r="K5" s="366" t="b">
        <f>AND(C5="",C6="",C7="",E5="",E6="",E7="",E8="",C8="")</f>
        <v>0</v>
      </c>
      <c r="L5" s="366" t="b">
        <f>OR(E5="",E6="")</f>
        <v>0</v>
      </c>
      <c r="M5" s="367"/>
      <c r="N5" s="370" t="s">
        <v>218</v>
      </c>
      <c r="O5" s="370" t="s">
        <v>219</v>
      </c>
      <c r="P5" s="367"/>
      <c r="Q5" s="370" t="s">
        <v>307</v>
      </c>
      <c r="R5" s="367"/>
      <c r="S5" s="367"/>
      <c r="T5" s="367"/>
      <c r="U5" s="366"/>
      <c r="V5" s="367"/>
      <c r="W5" s="371" t="s">
        <v>249</v>
      </c>
      <c r="X5" s="372"/>
      <c r="Y5" s="371" t="s">
        <v>285</v>
      </c>
      <c r="Z5" s="367"/>
      <c r="AA5" s="367"/>
      <c r="AB5" s="367"/>
      <c r="AC5" s="367"/>
      <c r="AD5" s="367"/>
      <c r="AE5" s="367"/>
      <c r="AF5" s="367"/>
      <c r="AG5" s="367"/>
      <c r="AH5" s="367"/>
      <c r="AI5" s="238"/>
      <c r="AJ5" s="238"/>
      <c r="AK5" s="238"/>
      <c r="AL5" s="238"/>
      <c r="AM5" s="238"/>
      <c r="AN5" s="238"/>
      <c r="AO5" s="238"/>
      <c r="AP5" s="238"/>
      <c r="AQ5" s="238"/>
      <c r="AR5" s="238"/>
      <c r="AS5" s="238"/>
      <c r="AT5" s="238"/>
      <c r="AU5" s="238"/>
      <c r="AV5" s="238"/>
      <c r="AW5" s="238"/>
      <c r="AX5" s="238"/>
      <c r="AY5" s="238"/>
    </row>
    <row r="6" spans="1:51" s="7" customFormat="1" ht="30.75" customHeight="1" x14ac:dyDescent="0.2">
      <c r="A6" s="85"/>
      <c r="B6" s="171" t="s">
        <v>17</v>
      </c>
      <c r="C6" s="323"/>
      <c r="D6" s="185" t="s">
        <v>308</v>
      </c>
      <c r="E6" s="430" t="s">
        <v>27</v>
      </c>
      <c r="F6" s="431"/>
      <c r="G6" s="216" t="str">
        <f>IF(E6="","Contact BGC if you do not know your CM Cycle Length or Start Date","")</f>
        <v/>
      </c>
      <c r="H6" s="367"/>
      <c r="I6" s="361"/>
      <c r="J6" s="367"/>
      <c r="K6" s="367"/>
      <c r="L6" s="367"/>
      <c r="M6" s="366"/>
      <c r="N6" s="366">
        <f>IF(E6="","",IF(E6="54 Months",54,60))</f>
        <v>60</v>
      </c>
      <c r="O6" s="366">
        <f>IF(E9="Cycle Extension",N6+6,N6)</f>
        <v>60</v>
      </c>
      <c r="P6" s="367"/>
      <c r="Q6" s="373">
        <f>IF(E6="","",EDATE(CMSTART,O6))</f>
        <v>46023</v>
      </c>
      <c r="R6" s="373" t="b">
        <f>IF(E6="","",AND(Q6-1=CMEND))</f>
        <v>1</v>
      </c>
      <c r="S6" s="367"/>
      <c r="T6" s="367"/>
      <c r="U6" s="367"/>
      <c r="V6" s="374"/>
      <c r="W6" s="372" t="s">
        <v>251</v>
      </c>
      <c r="X6" s="375" t="s">
        <v>59</v>
      </c>
      <c r="Y6" s="367"/>
      <c r="Z6" s="375" t="s">
        <v>59</v>
      </c>
      <c r="AA6" s="367"/>
      <c r="AB6" s="367"/>
      <c r="AC6" s="367"/>
      <c r="AD6" s="367"/>
      <c r="AE6" s="367"/>
      <c r="AF6" s="367"/>
      <c r="AG6" s="367"/>
      <c r="AH6" s="367"/>
      <c r="AI6" s="238"/>
      <c r="AJ6" s="238"/>
      <c r="AK6" s="238"/>
      <c r="AL6" s="238"/>
      <c r="AM6" s="238"/>
      <c r="AN6" s="238"/>
      <c r="AO6" s="238"/>
      <c r="AP6" s="238"/>
      <c r="AQ6" s="238"/>
      <c r="AR6" s="238"/>
      <c r="AS6" s="238"/>
      <c r="AT6" s="238"/>
      <c r="AU6" s="238"/>
      <c r="AV6" s="238"/>
      <c r="AW6" s="238"/>
      <c r="AX6" s="238"/>
      <c r="AY6" s="238"/>
    </row>
    <row r="7" spans="1:51" s="7" customFormat="1" ht="30.75" customHeight="1" x14ac:dyDescent="0.2">
      <c r="A7" s="85"/>
      <c r="B7" s="171" t="s">
        <v>18</v>
      </c>
      <c r="C7" s="324"/>
      <c r="D7" s="104" t="s">
        <v>224</v>
      </c>
      <c r="E7" s="432">
        <v>44197</v>
      </c>
      <c r="F7" s="433"/>
      <c r="G7" s="216" t="str">
        <f>IF(OR(E7="",E8=""),"Enter your Cycle Start and End Dates to enable the worksheet calculations","")</f>
        <v/>
      </c>
      <c r="H7" s="367"/>
      <c r="I7" s="366"/>
      <c r="J7" s="366"/>
      <c r="K7" s="366"/>
      <c r="L7" s="375" t="s">
        <v>246</v>
      </c>
      <c r="M7" s="375" t="s">
        <v>247</v>
      </c>
      <c r="N7" s="376" t="s">
        <v>248</v>
      </c>
      <c r="O7" s="375" t="s">
        <v>295</v>
      </c>
      <c r="P7" s="375" t="s">
        <v>294</v>
      </c>
      <c r="Q7" s="375" t="s">
        <v>59</v>
      </c>
      <c r="R7" s="375" t="s">
        <v>60</v>
      </c>
      <c r="S7" s="375"/>
      <c r="T7" s="375" t="s">
        <v>292</v>
      </c>
      <c r="U7" s="375" t="s">
        <v>60</v>
      </c>
      <c r="V7" s="374" t="s">
        <v>19</v>
      </c>
      <c r="W7" s="366" t="b">
        <f>AND(E5="CAIH")</f>
        <v>0</v>
      </c>
      <c r="X7" s="366" t="b">
        <f>IF(W7=TRUE,IF(D21&gt;=20,2,"0"))</f>
        <v>0</v>
      </c>
      <c r="Y7" s="366" t="b">
        <f>AND(E5="CAIH",E9="Cycle Extension")</f>
        <v>0</v>
      </c>
      <c r="Z7" s="366" t="b">
        <f>IF(Y7=TRUE,IF(D22&gt;=20,1,"0"))</f>
        <v>0</v>
      </c>
      <c r="AA7" s="372"/>
      <c r="AB7" s="371"/>
      <c r="AC7" s="367"/>
      <c r="AD7" s="367"/>
      <c r="AE7" s="367"/>
      <c r="AF7" s="367"/>
      <c r="AG7" s="367"/>
      <c r="AH7" s="367"/>
      <c r="AI7" s="238"/>
      <c r="AJ7" s="238"/>
      <c r="AK7" s="238"/>
      <c r="AL7" s="238"/>
      <c r="AM7" s="238"/>
      <c r="AN7" s="238"/>
      <c r="AO7" s="238"/>
      <c r="AP7" s="238"/>
      <c r="AQ7" s="238"/>
      <c r="AR7" s="238"/>
      <c r="AS7" s="238"/>
      <c r="AT7" s="238"/>
      <c r="AU7" s="238"/>
      <c r="AV7" s="238"/>
      <c r="AW7" s="238"/>
      <c r="AX7" s="238"/>
      <c r="AY7" s="238"/>
    </row>
    <row r="8" spans="1:51" s="7" customFormat="1" ht="30.75" customHeight="1" x14ac:dyDescent="0.2">
      <c r="A8" s="174"/>
      <c r="B8" s="172" t="s">
        <v>15</v>
      </c>
      <c r="C8" s="325"/>
      <c r="D8" s="107" t="s">
        <v>256</v>
      </c>
      <c r="E8" s="434">
        <v>46022</v>
      </c>
      <c r="F8" s="435"/>
      <c r="G8" s="218" t="str">
        <f>IF(E8="","",IF(R6=FALSE,"Something's not quite right. Check your CM Cycle length, Cycle Start Date, Cycle End Date and Hardship Help entries","Your CMW is due by "&amp;TEXT(E8+32,"mmm")&amp;" 1, "&amp;TEXT(E8+32,"yyyy")&amp;" or late penalities will be in effect."))</f>
        <v>Your CMW is due by Feb 1, 2026 or late penalities will be in effect.</v>
      </c>
      <c r="H8" s="367"/>
      <c r="I8" s="361"/>
      <c r="J8" s="367"/>
      <c r="K8" s="374" t="s">
        <v>444</v>
      </c>
      <c r="L8" s="366" t="b">
        <f>AND(E5="CAIH",E9="Cycle Extension")</f>
        <v>0</v>
      </c>
      <c r="M8" s="366" t="b">
        <f>AND(E5="CAIH",E6="54 months")</f>
        <v>0</v>
      </c>
      <c r="N8" s="366" t="b">
        <f>AND(L8=TRUE,M8=TRUE)</f>
        <v>0</v>
      </c>
      <c r="O8" s="367"/>
      <c r="P8" s="367"/>
      <c r="Q8" s="366" t="b">
        <f>IF(N8=TRUE,IF(SUM(F17:F22)&gt;=10,10,SUM(F17:F22)))</f>
        <v>0</v>
      </c>
      <c r="R8" s="366" t="b">
        <f>AND(E5="CAIH",V20&gt;=10)</f>
        <v>0</v>
      </c>
      <c r="S8" s="367"/>
      <c r="T8" s="367"/>
      <c r="U8" s="367"/>
      <c r="V8" s="367"/>
      <c r="W8" s="366"/>
      <c r="X8" s="366"/>
      <c r="Y8" s="366"/>
      <c r="Z8" s="366"/>
      <c r="AA8" s="377"/>
      <c r="AB8" s="367"/>
      <c r="AC8" s="367"/>
      <c r="AD8" s="367"/>
      <c r="AE8" s="367"/>
      <c r="AF8" s="367"/>
      <c r="AG8" s="367"/>
      <c r="AH8" s="367"/>
      <c r="AI8" s="238"/>
      <c r="AJ8" s="238"/>
      <c r="AK8" s="238"/>
      <c r="AL8" s="238"/>
      <c r="AM8" s="238"/>
      <c r="AN8" s="238"/>
      <c r="AO8" s="238"/>
      <c r="AP8" s="238"/>
      <c r="AQ8" s="238"/>
      <c r="AR8" s="238"/>
      <c r="AS8" s="238"/>
      <c r="AT8" s="238"/>
      <c r="AU8" s="238"/>
      <c r="AV8" s="238"/>
      <c r="AW8" s="238"/>
      <c r="AX8" s="238"/>
      <c r="AY8" s="238"/>
    </row>
    <row r="9" spans="1:51" s="7" customFormat="1" ht="27" customHeight="1" x14ac:dyDescent="0.2">
      <c r="A9" s="169"/>
      <c r="B9" s="170"/>
      <c r="C9" s="122"/>
      <c r="D9" s="108" t="s">
        <v>228</v>
      </c>
      <c r="E9" s="434"/>
      <c r="F9" s="435"/>
      <c r="G9" s="218" t="str">
        <f>IF(E9="", "", IF(OR(E9="Leave of Absence 1 Year",E9="Leave of Absence 2 Years"), "Remember that during the LOA period(s), you can claim CM credit ONLY in Category 4. ",""))</f>
        <v/>
      </c>
      <c r="H9" s="367"/>
      <c r="I9" s="378"/>
      <c r="J9" s="377"/>
      <c r="K9" s="369" t="s">
        <v>241</v>
      </c>
      <c r="L9" s="366" t="b">
        <f>AND(E5="CAIH",E9="Cycle Extension")</f>
        <v>0</v>
      </c>
      <c r="M9" s="366" t="b">
        <f>AND(E5="CAIH",E6="60 months")</f>
        <v>0</v>
      </c>
      <c r="N9" s="366" t="b">
        <f>AND(L9=TRUE,M9=TRUE)</f>
        <v>0</v>
      </c>
      <c r="O9" s="366"/>
      <c r="P9" s="366"/>
      <c r="Q9" s="366" t="b">
        <f>IF(N9=TRUE,IF(SUM(F17:F22)&gt;=10,10,SUM(F17:F22)))</f>
        <v>0</v>
      </c>
      <c r="R9" s="366"/>
      <c r="S9" s="366"/>
      <c r="T9" s="366"/>
      <c r="U9" s="366"/>
      <c r="V9" s="367"/>
      <c r="W9" s="367"/>
      <c r="X9" s="367"/>
      <c r="Y9" s="367"/>
      <c r="Z9" s="367"/>
      <c r="AA9" s="367"/>
      <c r="AB9" s="367"/>
      <c r="AC9" s="367"/>
      <c r="AD9" s="367"/>
      <c r="AE9" s="367"/>
      <c r="AF9" s="367"/>
      <c r="AG9" s="367"/>
      <c r="AH9" s="367"/>
      <c r="AI9" s="238"/>
      <c r="AJ9" s="238"/>
      <c r="AK9" s="238"/>
      <c r="AL9" s="238"/>
      <c r="AM9" s="238"/>
      <c r="AN9" s="238"/>
      <c r="AO9" s="238"/>
      <c r="AP9" s="238"/>
      <c r="AQ9" s="238"/>
      <c r="AR9" s="238"/>
      <c r="AS9" s="238"/>
      <c r="AT9" s="238"/>
      <c r="AU9" s="238"/>
      <c r="AV9" s="238"/>
      <c r="AW9" s="238"/>
      <c r="AX9" s="238"/>
      <c r="AY9" s="238"/>
    </row>
    <row r="10" spans="1:51" s="7" customFormat="1" ht="27" customHeight="1" x14ac:dyDescent="0.2">
      <c r="A10" s="121"/>
      <c r="B10" s="122"/>
      <c r="C10" s="122"/>
      <c r="D10" s="108" t="s">
        <v>442</v>
      </c>
      <c r="E10" s="432" t="s">
        <v>49</v>
      </c>
      <c r="F10" s="433"/>
      <c r="G10" s="219" t="str">
        <f>IF(H10=FALSE,"","Please verify your Contact Information at My Account on the BGC web site")</f>
        <v/>
      </c>
      <c r="H10" s="378" t="b">
        <f>OR(E10="",E10="No")</f>
        <v>0</v>
      </c>
      <c r="I10" s="367"/>
      <c r="J10" s="377"/>
      <c r="K10" s="369" t="s">
        <v>242</v>
      </c>
      <c r="L10" s="366" t="b">
        <f>AND(E5="CAIH",E9="")</f>
        <v>0</v>
      </c>
      <c r="M10" s="366" t="b">
        <f>AND(E5="CAIH",E6="54 months")</f>
        <v>0</v>
      </c>
      <c r="N10" s="366" t="b">
        <f>AND(L10=TRUE,M10=TRUE)</f>
        <v>0</v>
      </c>
      <c r="O10" s="366" t="b">
        <f>AND(M10=TRUE,E9="Leave of Absence 1 Year")</f>
        <v>0</v>
      </c>
      <c r="P10" s="366" t="b">
        <f>AND(M10=TRUE,E9="Leave of Absence 2 Years")</f>
        <v>0</v>
      </c>
      <c r="Q10" s="366" t="b">
        <f>IF(OR(N10=TRUE,O10=TRUE,P10=TRUE),IF(SUM(F17:F22)&gt;=10,10,SUM(F17:F22)))</f>
        <v>0</v>
      </c>
      <c r="R10" s="366"/>
      <c r="S10" s="366"/>
      <c r="T10" s="366"/>
      <c r="U10" s="366"/>
      <c r="V10" s="367"/>
      <c r="W10" s="367"/>
      <c r="X10" s="367"/>
      <c r="Y10" s="367"/>
      <c r="Z10" s="367"/>
      <c r="AA10" s="367"/>
      <c r="AB10" s="367"/>
      <c r="AC10" s="367"/>
      <c r="AD10" s="367"/>
      <c r="AE10" s="367"/>
      <c r="AF10" s="367"/>
      <c r="AG10" s="367"/>
      <c r="AH10" s="367"/>
      <c r="AI10" s="238"/>
      <c r="AJ10" s="238"/>
      <c r="AK10" s="238"/>
      <c r="AL10" s="238"/>
      <c r="AM10" s="238"/>
      <c r="AN10" s="238"/>
      <c r="AO10" s="238"/>
      <c r="AP10" s="238"/>
      <c r="AQ10" s="238"/>
      <c r="AR10" s="238"/>
      <c r="AS10" s="238"/>
      <c r="AT10" s="238"/>
      <c r="AU10" s="238"/>
      <c r="AV10" s="238"/>
      <c r="AW10" s="238"/>
      <c r="AX10" s="238"/>
      <c r="AY10" s="238"/>
    </row>
    <row r="11" spans="1:51" s="7" customFormat="1" ht="15" customHeight="1" x14ac:dyDescent="0.2">
      <c r="A11" s="116" t="s">
        <v>255</v>
      </c>
      <c r="B11" s="158"/>
      <c r="C11" s="328"/>
      <c r="D11" s="328"/>
      <c r="E11" s="328"/>
      <c r="F11" s="115" t="s">
        <v>461</v>
      </c>
      <c r="G11" s="220"/>
      <c r="H11" s="379"/>
      <c r="I11" s="380"/>
      <c r="J11" s="377"/>
      <c r="K11" s="369" t="s">
        <v>293</v>
      </c>
      <c r="L11" s="366" t="b">
        <f>AND(E5="CAIH",E9="")</f>
        <v>0</v>
      </c>
      <c r="M11" s="366" t="b">
        <f>AND(E5="CAIH",E6="60 months")</f>
        <v>0</v>
      </c>
      <c r="N11" s="366" t="b">
        <f>AND(L11=TRUE,M11=TRUE)</f>
        <v>0</v>
      </c>
      <c r="O11" s="366" t="b">
        <f>AND(M11=TRUE,E9="Leave of Absence 1 Year")</f>
        <v>0</v>
      </c>
      <c r="P11" s="366" t="b">
        <f>AND(M11=TRUE,E9="Leave of Absence 2 Years")</f>
        <v>0</v>
      </c>
      <c r="Q11" s="366" t="b">
        <f>IF(OR(N11=TRUE,O11=TRUE,P11=TRUE),IF(SUM(F17:F22)&gt;=10,10,SUM(F17:F22)))</f>
        <v>0</v>
      </c>
      <c r="R11" s="366"/>
      <c r="S11" s="367"/>
      <c r="T11" s="366"/>
      <c r="U11" s="366"/>
      <c r="V11" s="374" t="s">
        <v>439</v>
      </c>
      <c r="W11" s="366" t="b">
        <f>AND(J2=TRUE,E6="54 months",OR(E9="",E9="Leave of Absence 1 Year",E9="Leave of Absence 2 Years"))</f>
        <v>0</v>
      </c>
      <c r="X11" s="366" t="str">
        <f>IF(D21=0,"0",IF(W11=TRUE,IF(D21&gt;=95,3,IF(D21&lt;40,1,2))))</f>
        <v>0</v>
      </c>
      <c r="Y11" s="366"/>
      <c r="Z11" s="366"/>
      <c r="AA11" s="367"/>
      <c r="AB11" s="367"/>
      <c r="AC11" s="367"/>
      <c r="AD11" s="367"/>
      <c r="AE11" s="367"/>
      <c r="AF11" s="367"/>
      <c r="AG11" s="367"/>
      <c r="AH11" s="367"/>
      <c r="AI11" s="238"/>
      <c r="AJ11" s="238"/>
      <c r="AK11" s="238"/>
      <c r="AL11" s="238"/>
      <c r="AM11" s="238"/>
      <c r="AN11" s="238"/>
      <c r="AO11" s="238"/>
      <c r="AP11" s="238"/>
      <c r="AQ11" s="238"/>
      <c r="AR11" s="238"/>
      <c r="AS11" s="238"/>
      <c r="AT11" s="238"/>
      <c r="AU11" s="238"/>
      <c r="AV11" s="238"/>
      <c r="AW11" s="238"/>
      <c r="AX11" s="238"/>
      <c r="AY11" s="238"/>
    </row>
    <row r="12" spans="1:51" s="7" customFormat="1" ht="21.75" customHeight="1" thickBot="1" x14ac:dyDescent="0.25">
      <c r="A12" s="175" t="s">
        <v>324</v>
      </c>
      <c r="B12" s="176"/>
      <c r="C12" s="106"/>
      <c r="D12" s="106"/>
      <c r="E12" s="106"/>
      <c r="F12" s="177" t="s">
        <v>462</v>
      </c>
      <c r="G12" s="221"/>
      <c r="H12" s="380"/>
      <c r="I12" s="381"/>
      <c r="J12" s="377"/>
      <c r="K12" s="374" t="s">
        <v>445</v>
      </c>
      <c r="L12" s="366" t="b">
        <f>AND(E5="CPPS",E9="Cycle Extension")</f>
        <v>0</v>
      </c>
      <c r="M12" s="366" t="b">
        <f>AND(E5="CPPS",E6="54 months")</f>
        <v>0</v>
      </c>
      <c r="N12" s="366" t="b">
        <f t="shared" ref="N12:N19" si="0">AND(L12=TRUE,M12=TRUE)</f>
        <v>0</v>
      </c>
      <c r="O12" s="367"/>
      <c r="P12" s="367"/>
      <c r="Q12" s="366" t="b">
        <f>IF(N12=TRUE,IF(SUM(F17:F22)&gt;=25,25,SUM(F17:F22)))</f>
        <v>0</v>
      </c>
      <c r="R12" s="366" t="b">
        <f>AND(J2=TRUE,V20&gt;=25)</f>
        <v>0</v>
      </c>
      <c r="S12" s="367"/>
      <c r="T12" s="366"/>
      <c r="U12" s="366"/>
      <c r="V12" s="374"/>
      <c r="W12" s="366" t="b">
        <f>AND(J2=TRUE,E6="54 months",E9="Cycle Extension")</f>
        <v>0</v>
      </c>
      <c r="X12" s="366" t="b">
        <f>IF(W12=TRUE,IF(D21&gt;=50,3,IF(D21&lt;20,"0",2)))</f>
        <v>0</v>
      </c>
      <c r="Y12" s="366"/>
      <c r="Z12" s="366"/>
      <c r="AA12" s="367"/>
      <c r="AB12" s="367"/>
      <c r="AC12" s="367"/>
      <c r="AD12" s="367"/>
      <c r="AE12" s="367"/>
      <c r="AF12" s="367"/>
      <c r="AG12" s="367"/>
      <c r="AH12" s="367"/>
      <c r="AI12" s="238"/>
      <c r="AJ12" s="238"/>
      <c r="AK12" s="238"/>
      <c r="AL12" s="238"/>
      <c r="AM12" s="238"/>
      <c r="AN12" s="238"/>
      <c r="AO12" s="238"/>
      <c r="AP12" s="238"/>
      <c r="AQ12" s="238"/>
      <c r="AR12" s="238"/>
      <c r="AS12" s="238"/>
      <c r="AT12" s="238"/>
      <c r="AU12" s="238"/>
      <c r="AV12" s="238"/>
      <c r="AW12" s="238"/>
      <c r="AX12" s="238"/>
      <c r="AY12" s="238"/>
    </row>
    <row r="13" spans="1:51" s="7" customFormat="1" ht="15" customHeight="1" thickBot="1" x14ac:dyDescent="0.25">
      <c r="A13" s="105"/>
      <c r="B13" s="159"/>
      <c r="C13" s="101"/>
      <c r="D13" s="101"/>
      <c r="E13" s="101"/>
      <c r="F13" s="117"/>
      <c r="G13" s="221"/>
      <c r="H13" s="381"/>
      <c r="I13" s="377"/>
      <c r="J13" s="377"/>
      <c r="K13" s="369" t="s">
        <v>436</v>
      </c>
      <c r="L13" s="366" t="b">
        <f>AND(E5="CPPS",E9="Cycle Extension")</f>
        <v>0</v>
      </c>
      <c r="M13" s="366" t="b">
        <f>AND(E5="CPPS",E6="60 months")</f>
        <v>1</v>
      </c>
      <c r="N13" s="366" t="b">
        <f t="shared" si="0"/>
        <v>0</v>
      </c>
      <c r="O13" s="366"/>
      <c r="P13" s="366"/>
      <c r="Q13" s="366" t="b">
        <f>IF(N13=TRUE,IF(SUM(F17:F22)&gt;=25,25,SUM(F17:F22)))</f>
        <v>0</v>
      </c>
      <c r="R13" s="366"/>
      <c r="S13" s="366"/>
      <c r="T13" s="366"/>
      <c r="U13" s="366"/>
      <c r="V13" s="374"/>
      <c r="W13" s="366" t="b">
        <f>AND(J2=TRUE,E6="60 months",E9="Cycle Extension")</f>
        <v>0</v>
      </c>
      <c r="X13" s="366" t="b">
        <f>IF(W13=TRUE,IF(D21&gt;=50,3,IF(D21&lt;20,"0",2)))</f>
        <v>0</v>
      </c>
      <c r="Y13" s="366" t="b">
        <f>AND(J2=TRUE,E6="60 months",E9="Cycle Extension")</f>
        <v>0</v>
      </c>
      <c r="Z13" s="366" t="b">
        <f>IF(Y13=TRUE,IF(D22&gt;=50,1.5,IF(D22&lt;20,"0",1)))</f>
        <v>0</v>
      </c>
      <c r="AA13" s="367"/>
      <c r="AB13" s="367"/>
      <c r="AC13" s="367"/>
      <c r="AD13" s="367"/>
      <c r="AE13" s="367"/>
      <c r="AF13" s="367"/>
      <c r="AG13" s="367"/>
      <c r="AH13" s="367"/>
      <c r="AI13" s="238"/>
      <c r="AJ13" s="238"/>
      <c r="AK13" s="238"/>
      <c r="AL13" s="238"/>
      <c r="AM13" s="238"/>
      <c r="AN13" s="238"/>
      <c r="AO13" s="238"/>
      <c r="AP13" s="238"/>
      <c r="AQ13" s="238"/>
      <c r="AR13" s="238"/>
      <c r="AS13" s="238"/>
      <c r="AT13" s="238"/>
      <c r="AU13" s="238"/>
      <c r="AV13" s="238"/>
      <c r="AW13" s="238"/>
      <c r="AX13" s="238"/>
      <c r="AY13" s="238"/>
    </row>
    <row r="14" spans="1:51" s="8" customFormat="1" ht="20.25" customHeight="1" x14ac:dyDescent="0.2">
      <c r="A14" s="64" t="s">
        <v>423</v>
      </c>
      <c r="B14" s="160"/>
      <c r="C14" s="18"/>
      <c r="D14" s="18"/>
      <c r="E14" s="67" t="s">
        <v>230</v>
      </c>
      <c r="F14" s="89">
        <f>V20</f>
        <v>0</v>
      </c>
      <c r="G14" s="220" t="str">
        <f>IF(W20=1,"Point Maximum Reached","")</f>
        <v/>
      </c>
      <c r="H14" s="382"/>
      <c r="I14" s="383"/>
      <c r="J14" s="383"/>
      <c r="K14" s="369" t="s">
        <v>437</v>
      </c>
      <c r="L14" s="366" t="b">
        <f>AND(E5="CPPS",E9="")</f>
        <v>1</v>
      </c>
      <c r="M14" s="366" t="b">
        <f>AND(E5="CPPS",E6="54 months")</f>
        <v>0</v>
      </c>
      <c r="N14" s="366" t="b">
        <f t="shared" si="0"/>
        <v>0</v>
      </c>
      <c r="O14" s="366" t="b">
        <f>AND(M14=TRUE,E9="Leave of Absence 1 Year")</f>
        <v>0</v>
      </c>
      <c r="P14" s="366" t="b">
        <f>AND(M14=TRUE,E9="Leave of Absence 2 Years")</f>
        <v>0</v>
      </c>
      <c r="Q14" s="366" t="b">
        <f>IF(OR(N14=TRUE,O14=TRUE,P14=TRUE),IF(SUM(F17:F22)&gt;=25,25,SUM(F17:F22)))</f>
        <v>0</v>
      </c>
      <c r="R14" s="366"/>
      <c r="S14" s="366"/>
      <c r="T14" s="366"/>
      <c r="U14" s="366"/>
      <c r="V14" s="367"/>
      <c r="W14" s="366" t="b">
        <f>AND(J2=TRUE,E6="60 months",OR(E9="",E9="Leave of Absence 1 Year",E9="Leave of Absence 2 Years"))</f>
        <v>1</v>
      </c>
      <c r="X14" s="366" t="str">
        <f>IF(W14=TRUE,IF(D21&gt;=50,3,IF(D21&lt;20,"0",2)))</f>
        <v>0</v>
      </c>
      <c r="Y14" s="366"/>
      <c r="Z14" s="366"/>
      <c r="AA14" s="367"/>
      <c r="AB14" s="367"/>
      <c r="AC14" s="367"/>
      <c r="AD14" s="367"/>
      <c r="AE14" s="367"/>
      <c r="AF14" s="367"/>
      <c r="AG14" s="367"/>
      <c r="AH14" s="383"/>
      <c r="AI14" s="239"/>
      <c r="AJ14" s="239"/>
      <c r="AK14" s="239"/>
      <c r="AL14" s="239"/>
      <c r="AM14" s="239"/>
      <c r="AN14" s="239"/>
      <c r="AO14" s="239"/>
      <c r="AP14" s="239"/>
      <c r="AQ14" s="239"/>
      <c r="AR14" s="239"/>
      <c r="AS14" s="239"/>
      <c r="AT14" s="239"/>
      <c r="AU14" s="239"/>
      <c r="AV14" s="239"/>
      <c r="AW14" s="239"/>
      <c r="AX14" s="239"/>
      <c r="AY14" s="239"/>
    </row>
    <row r="15" spans="1:51" s="8" customFormat="1" ht="14.25" customHeight="1" x14ac:dyDescent="0.2">
      <c r="A15" s="20" t="s">
        <v>23</v>
      </c>
      <c r="B15" s="161"/>
      <c r="C15" s="21" t="s">
        <v>463</v>
      </c>
      <c r="D15" s="22"/>
      <c r="E15" s="337" t="s">
        <v>393</v>
      </c>
      <c r="F15" s="90"/>
      <c r="G15" s="222"/>
      <c r="H15" s="384"/>
      <c r="I15" s="383"/>
      <c r="J15" s="383"/>
      <c r="K15" s="369" t="s">
        <v>438</v>
      </c>
      <c r="L15" s="366" t="b">
        <f>AND(E5="CPPS",E9="")</f>
        <v>1</v>
      </c>
      <c r="M15" s="366" t="b">
        <f>AND(E5="CPPS",E6="60 months")</f>
        <v>1</v>
      </c>
      <c r="N15" s="366" t="b">
        <f t="shared" si="0"/>
        <v>1</v>
      </c>
      <c r="O15" s="366" t="b">
        <f>AND(M15=TRUE,E9="Leave of Absence 1 Year")</f>
        <v>0</v>
      </c>
      <c r="P15" s="366" t="b">
        <f>AND(M15=TRUE,E9="Leave of Absence 2 Years")</f>
        <v>0</v>
      </c>
      <c r="Q15" s="366">
        <f>IF(OR(N15=TRUE,O15=TRUE,P15=TRUE),IF(SUM(F17:F22)&gt;=25,25,SUM(F17:F22)))</f>
        <v>0</v>
      </c>
      <c r="R15" s="366"/>
      <c r="S15" s="383"/>
      <c r="T15" s="366"/>
      <c r="U15" s="366"/>
      <c r="V15" s="374"/>
      <c r="W15" s="385"/>
      <c r="X15" s="386" t="str">
        <f>IF(SUM(X7:X14)=0,"0",SUM(X7:X14))</f>
        <v>0</v>
      </c>
      <c r="Y15" s="385"/>
      <c r="Z15" s="386" t="str">
        <f>IF(SUM(Z7:Z14)=0,"0",SUM(Z7:Z14))</f>
        <v>0</v>
      </c>
      <c r="AA15" s="367"/>
      <c r="AB15" s="383"/>
      <c r="AC15" s="383"/>
      <c r="AD15" s="383"/>
      <c r="AE15" s="383"/>
      <c r="AF15" s="383"/>
      <c r="AG15" s="383"/>
      <c r="AH15" s="383"/>
      <c r="AI15" s="239"/>
      <c r="AJ15" s="239"/>
      <c r="AK15" s="239"/>
      <c r="AL15" s="239"/>
      <c r="AM15" s="239"/>
      <c r="AN15" s="239"/>
      <c r="AO15" s="239"/>
      <c r="AP15" s="239"/>
      <c r="AQ15" s="239"/>
      <c r="AR15" s="239"/>
      <c r="AS15" s="239"/>
      <c r="AT15" s="239"/>
      <c r="AU15" s="239"/>
      <c r="AV15" s="239"/>
      <c r="AW15" s="239"/>
      <c r="AX15" s="239"/>
      <c r="AY15" s="239"/>
    </row>
    <row r="16" spans="1:51" s="8" customFormat="1" ht="45" customHeight="1" x14ac:dyDescent="0.2">
      <c r="A16" s="16" t="s">
        <v>288</v>
      </c>
      <c r="B16" s="102" t="s">
        <v>289</v>
      </c>
      <c r="C16" s="100" t="s">
        <v>306</v>
      </c>
      <c r="D16" s="424" t="s">
        <v>424</v>
      </c>
      <c r="E16" s="425"/>
      <c r="F16" s="68" t="s">
        <v>3</v>
      </c>
      <c r="G16" s="223"/>
      <c r="H16" s="384"/>
      <c r="I16" s="383"/>
      <c r="J16" s="387"/>
      <c r="K16" s="374" t="s">
        <v>446</v>
      </c>
      <c r="L16" s="366" t="b">
        <f>AND(E5="CIH w/IEQ",E9="Cycle Extension")</f>
        <v>0</v>
      </c>
      <c r="M16" s="366" t="b">
        <f>AND(E5="CIH w/IEQ",E6="54 months")</f>
        <v>0</v>
      </c>
      <c r="N16" s="366" t="b">
        <f t="shared" si="0"/>
        <v>0</v>
      </c>
      <c r="O16" s="383"/>
      <c r="P16" s="383"/>
      <c r="Q16" s="366" t="b">
        <f>IF(N16=TRUE,IF(SUM(F17:F22)&gt;=15,15,SUM(F17:F22)))</f>
        <v>0</v>
      </c>
      <c r="R16" s="366"/>
      <c r="S16" s="383"/>
      <c r="T16" s="383"/>
      <c r="U16" s="383"/>
      <c r="V16" s="374"/>
      <c r="W16" s="366"/>
      <c r="X16" s="383"/>
      <c r="Y16" s="366"/>
      <c r="Z16" s="377"/>
      <c r="AA16" s="367"/>
      <c r="AB16" s="383"/>
      <c r="AC16" s="383"/>
      <c r="AD16" s="383"/>
      <c r="AE16" s="383"/>
      <c r="AF16" s="383"/>
      <c r="AG16" s="383"/>
      <c r="AH16" s="383"/>
      <c r="AI16" s="239"/>
      <c r="AJ16" s="239"/>
      <c r="AK16" s="239"/>
      <c r="AL16" s="239"/>
      <c r="AM16" s="239"/>
      <c r="AN16" s="239"/>
      <c r="AO16" s="239"/>
      <c r="AP16" s="239"/>
      <c r="AQ16" s="239"/>
      <c r="AR16" s="239"/>
      <c r="AS16" s="239"/>
      <c r="AT16" s="239"/>
      <c r="AU16" s="239"/>
      <c r="AV16" s="239"/>
      <c r="AW16" s="239"/>
      <c r="AX16" s="239"/>
      <c r="AY16" s="239"/>
    </row>
    <row r="17" spans="1:51" s="7" customFormat="1" ht="51.75" customHeight="1" x14ac:dyDescent="0.2">
      <c r="A17" s="317">
        <f>IF(E7="","",E7)</f>
        <v>44197</v>
      </c>
      <c r="B17" s="318">
        <f>IF(E7="","",EDATE(A17,12)-1)</f>
        <v>44561</v>
      </c>
      <c r="C17" s="314" t="s">
        <v>426</v>
      </c>
      <c r="D17" s="426"/>
      <c r="E17" s="427"/>
      <c r="F17" s="178" t="str">
        <f>IF(OR($E$5="",$E$6="",$E$7="",D17=""),"",IF($J$2=TRUE,IF(D17&lt;50,D17*0.096,5),""))</f>
        <v/>
      </c>
      <c r="G17" s="223"/>
      <c r="H17" s="384"/>
      <c r="I17" s="366"/>
      <c r="J17" s="366"/>
      <c r="K17" s="369" t="s">
        <v>243</v>
      </c>
      <c r="L17" s="366" t="b">
        <f>AND(E5="CIH w/IEQ",E9="Cycle Extension")</f>
        <v>0</v>
      </c>
      <c r="M17" s="366" t="b">
        <f>AND(E5="CIH w/IEQ",E6="60 months")</f>
        <v>0</v>
      </c>
      <c r="N17" s="366" t="b">
        <f t="shared" si="0"/>
        <v>0</v>
      </c>
      <c r="O17" s="367"/>
      <c r="P17" s="367"/>
      <c r="Q17" s="366" t="b">
        <f>IF(N17=TRUE,IF(SUM(F17:F22)&gt;=15,15,SUM(F17:F22)))</f>
        <v>0</v>
      </c>
      <c r="R17" s="366"/>
      <c r="S17" s="367"/>
      <c r="T17" s="367"/>
      <c r="U17" s="367"/>
      <c r="V17" s="374"/>
      <c r="W17" s="388" t="s">
        <v>250</v>
      </c>
      <c r="X17" s="385" t="b">
        <f>AND(E6="54 months",OR(E9="",E9="Leave of Absence 1 Year",E9="Leave of Absence 2 Years"))</f>
        <v>0</v>
      </c>
      <c r="Y17" s="389" t="s">
        <v>252</v>
      </c>
      <c r="Z17" s="383"/>
      <c r="AA17" s="383"/>
      <c r="AB17" s="383"/>
      <c r="AC17" s="383"/>
      <c r="AD17" s="383"/>
      <c r="AE17" s="383"/>
      <c r="AF17" s="383"/>
      <c r="AG17" s="383"/>
      <c r="AH17" s="367"/>
      <c r="AI17" s="238"/>
      <c r="AJ17" s="238"/>
      <c r="AK17" s="238"/>
      <c r="AL17" s="238"/>
      <c r="AM17" s="238"/>
      <c r="AN17" s="238"/>
      <c r="AO17" s="238"/>
      <c r="AP17" s="238"/>
      <c r="AQ17" s="238"/>
      <c r="AR17" s="238"/>
      <c r="AS17" s="238"/>
      <c r="AT17" s="238"/>
      <c r="AU17" s="238"/>
      <c r="AV17" s="238"/>
      <c r="AW17" s="238"/>
      <c r="AX17" s="238"/>
      <c r="AY17" s="238"/>
    </row>
    <row r="18" spans="1:51" s="7" customFormat="1" ht="51.75" customHeight="1" x14ac:dyDescent="0.2">
      <c r="A18" s="317">
        <f>IF(E7="","",EDATE(A17,12))</f>
        <v>44562</v>
      </c>
      <c r="B18" s="318">
        <f>IF(E7="","",EDATE(A18,12)-1)</f>
        <v>44926</v>
      </c>
      <c r="C18" s="315" t="s">
        <v>427</v>
      </c>
      <c r="D18" s="426"/>
      <c r="E18" s="427"/>
      <c r="F18" s="178" t="str">
        <f t="shared" ref="F18:F21" si="1">IF(OR($E$5="",$E$6="",$E$7="",D18=""),"",IF($J$2=TRUE,IF(D18&lt;50,D18*0.096,5),""))</f>
        <v/>
      </c>
      <c r="G18" s="220"/>
      <c r="H18" s="377"/>
      <c r="I18" s="366"/>
      <c r="J18" s="366"/>
      <c r="K18" s="369" t="s">
        <v>244</v>
      </c>
      <c r="L18" s="366" t="b">
        <f>AND(E5="CIH w/IEQ",E9="")</f>
        <v>0</v>
      </c>
      <c r="M18" s="366" t="b">
        <f>AND(E5="CIH w/IEQ",E6="54 months")</f>
        <v>0</v>
      </c>
      <c r="N18" s="366" t="b">
        <f t="shared" si="0"/>
        <v>0</v>
      </c>
      <c r="O18" s="366" t="b">
        <f>AND(M18=TRUE,E9="Leave of Absence 1 Year")</f>
        <v>0</v>
      </c>
      <c r="P18" s="366" t="b">
        <f>AND(M18=TRUE,E9="Leave of Absence 2 Years")</f>
        <v>0</v>
      </c>
      <c r="Q18" s="366" t="b">
        <f>IF(OR(N18=TRUE,O18=TRUE,P18=TRUE),IF(SUM(F17:F22)&gt;=15,15,SUM(F17:F22)))</f>
        <v>0</v>
      </c>
      <c r="R18" s="366"/>
      <c r="S18" s="366"/>
      <c r="T18" s="366"/>
      <c r="U18" s="366"/>
      <c r="V18" s="374"/>
      <c r="W18" s="388" t="s">
        <v>253</v>
      </c>
      <c r="X18" s="385" t="b">
        <f>AND(E6="60 months",E9="Cycle Extension")</f>
        <v>0</v>
      </c>
      <c r="Y18" s="389" t="s">
        <v>254</v>
      </c>
      <c r="Z18" s="383"/>
      <c r="AA18" s="383"/>
      <c r="AB18" s="367"/>
      <c r="AC18" s="367"/>
      <c r="AD18" s="367"/>
      <c r="AE18" s="367"/>
      <c r="AF18" s="367"/>
      <c r="AG18" s="367"/>
      <c r="AH18" s="367"/>
      <c r="AI18" s="238"/>
      <c r="AJ18" s="238"/>
      <c r="AK18" s="238"/>
      <c r="AL18" s="238"/>
      <c r="AM18" s="238"/>
      <c r="AN18" s="238"/>
      <c r="AO18" s="238"/>
      <c r="AP18" s="238"/>
      <c r="AQ18" s="238"/>
      <c r="AR18" s="238"/>
      <c r="AS18" s="238"/>
      <c r="AT18" s="238"/>
      <c r="AU18" s="238"/>
      <c r="AV18" s="238"/>
      <c r="AW18" s="238"/>
      <c r="AX18" s="238"/>
      <c r="AY18" s="238"/>
    </row>
    <row r="19" spans="1:51" s="7" customFormat="1" ht="51.75" customHeight="1" x14ac:dyDescent="0.2">
      <c r="A19" s="317">
        <f>IF(E7="","",EDATE(A18,12))</f>
        <v>44927</v>
      </c>
      <c r="B19" s="318">
        <f>IF(E7="","",EDATE(A19,12)-1)</f>
        <v>45291</v>
      </c>
      <c r="C19" s="316"/>
      <c r="D19" s="426"/>
      <c r="E19" s="427"/>
      <c r="F19" s="178" t="str">
        <f t="shared" si="1"/>
        <v/>
      </c>
      <c r="G19" s="220"/>
      <c r="H19" s="377"/>
      <c r="I19" s="367"/>
      <c r="J19" s="367"/>
      <c r="K19" s="369" t="s">
        <v>245</v>
      </c>
      <c r="L19" s="366" t="b">
        <f>AND(E5="CIH w/IEQ",E9="")</f>
        <v>0</v>
      </c>
      <c r="M19" s="366" t="b">
        <f>AND(E5="CIH w/IEQ",E6="60 months")</f>
        <v>0</v>
      </c>
      <c r="N19" s="366" t="b">
        <f t="shared" si="0"/>
        <v>0</v>
      </c>
      <c r="O19" s="366" t="b">
        <f>AND(M19=TRUE,E9="Leave of Absence 1 Year")</f>
        <v>0</v>
      </c>
      <c r="P19" s="366" t="b">
        <f>AND(M19=TRUE,E9="Leave of Absence 2 Years")</f>
        <v>0</v>
      </c>
      <c r="Q19" s="366" t="b">
        <f>IF(OR(N19=TRUE,O19=TRUE,P19=TRUE),IF(SUM(F17:F22)&gt;=15,15,SUM(F17:F22)))</f>
        <v>0</v>
      </c>
      <c r="R19" s="366"/>
      <c r="S19" s="366"/>
      <c r="T19" s="366"/>
      <c r="U19" s="366"/>
      <c r="V19" s="374"/>
      <c r="W19" s="367"/>
      <c r="X19" s="385"/>
      <c r="Y19" s="366"/>
      <c r="Z19" s="367"/>
      <c r="AA19" s="367"/>
      <c r="AB19" s="367"/>
      <c r="AC19" s="367"/>
      <c r="AD19" s="367"/>
      <c r="AE19" s="367"/>
      <c r="AF19" s="367"/>
      <c r="AG19" s="367"/>
      <c r="AH19" s="367"/>
      <c r="AI19" s="238"/>
      <c r="AJ19" s="238"/>
      <c r="AK19" s="238"/>
      <c r="AL19" s="238"/>
      <c r="AM19" s="238"/>
      <c r="AN19" s="238"/>
      <c r="AO19" s="238"/>
      <c r="AP19" s="238"/>
      <c r="AQ19" s="238"/>
      <c r="AR19" s="238"/>
      <c r="AS19" s="238"/>
      <c r="AT19" s="238"/>
      <c r="AU19" s="238"/>
      <c r="AV19" s="238"/>
      <c r="AW19" s="238"/>
      <c r="AX19" s="238"/>
      <c r="AY19" s="238"/>
    </row>
    <row r="20" spans="1:51" s="7" customFormat="1" ht="51.75" customHeight="1" x14ac:dyDescent="0.2">
      <c r="A20" s="317">
        <f>IF(E7="","",EDATE(A19,12))</f>
        <v>45292</v>
      </c>
      <c r="B20" s="318">
        <f>IF(E7="","",EDATE(A20,12)-1)</f>
        <v>45657</v>
      </c>
      <c r="C20" s="316"/>
      <c r="D20" s="426"/>
      <c r="E20" s="427"/>
      <c r="F20" s="178" t="str">
        <f t="shared" si="1"/>
        <v/>
      </c>
      <c r="G20" s="220"/>
      <c r="H20" s="377"/>
      <c r="I20" s="366"/>
      <c r="J20" s="366"/>
      <c r="K20" s="366"/>
      <c r="L20" s="366"/>
      <c r="M20" s="366"/>
      <c r="N20" s="366"/>
      <c r="O20" s="366"/>
      <c r="P20" s="366"/>
      <c r="Q20" s="366">
        <f>SUM(Q8:Q19)</f>
        <v>0</v>
      </c>
      <c r="R20" s="366">
        <f>COUNTIF(R8:R19,TRUE)</f>
        <v>0</v>
      </c>
      <c r="S20" s="366"/>
      <c r="T20" s="366">
        <f>SUM(T9:T19)</f>
        <v>0</v>
      </c>
      <c r="U20" s="366">
        <f>COUNTIF(U9:U19,TRUE)</f>
        <v>0</v>
      </c>
      <c r="V20" s="390">
        <f>SUM(Q20+T20)</f>
        <v>0</v>
      </c>
      <c r="W20" s="391">
        <f>R20+U20</f>
        <v>0</v>
      </c>
      <c r="X20" s="367"/>
      <c r="Y20" s="367"/>
      <c r="Z20" s="367"/>
      <c r="AA20" s="367"/>
      <c r="AB20" s="367"/>
      <c r="AC20" s="367"/>
      <c r="AD20" s="367"/>
      <c r="AE20" s="367"/>
      <c r="AF20" s="367"/>
      <c r="AG20" s="367"/>
      <c r="AH20" s="367"/>
      <c r="AI20" s="238"/>
      <c r="AJ20" s="238"/>
      <c r="AK20" s="238"/>
      <c r="AL20" s="238"/>
      <c r="AM20" s="238"/>
      <c r="AN20" s="238"/>
      <c r="AO20" s="238"/>
      <c r="AP20" s="238"/>
      <c r="AQ20" s="238"/>
      <c r="AR20" s="238"/>
      <c r="AS20" s="238"/>
      <c r="AT20" s="238"/>
      <c r="AU20" s="238"/>
      <c r="AV20" s="238"/>
      <c r="AW20" s="238"/>
      <c r="AX20" s="238"/>
      <c r="AY20" s="238"/>
    </row>
    <row r="21" spans="1:51" s="7" customFormat="1" ht="51.75" customHeight="1" thickBot="1" x14ac:dyDescent="0.25">
      <c r="A21" s="319">
        <f>IF(E7="","",EDATE(A20,12))</f>
        <v>45658</v>
      </c>
      <c r="B21" s="320">
        <f>IF(E7="","",IF(X17=TRUE,EDATE(A21,6)-1,EDATE(A21,12)-1))</f>
        <v>46022</v>
      </c>
      <c r="C21" s="316"/>
      <c r="D21" s="428"/>
      <c r="E21" s="429"/>
      <c r="F21" s="178" t="str">
        <f t="shared" si="1"/>
        <v/>
      </c>
      <c r="G21" s="220"/>
      <c r="H21" s="377"/>
      <c r="I21" s="366"/>
      <c r="J21" s="366"/>
      <c r="K21" s="366"/>
      <c r="L21" s="366"/>
      <c r="M21" s="366"/>
      <c r="N21" s="366"/>
      <c r="O21" s="366"/>
      <c r="P21" s="366"/>
      <c r="Q21" s="366"/>
      <c r="R21" s="366"/>
      <c r="S21" s="366"/>
      <c r="T21" s="366"/>
      <c r="U21" s="366"/>
      <c r="V21" s="392" t="s">
        <v>61</v>
      </c>
      <c r="W21" s="392" t="s">
        <v>62</v>
      </c>
      <c r="X21" s="367"/>
      <c r="Y21" s="367"/>
      <c r="Z21" s="367"/>
      <c r="AA21" s="367"/>
      <c r="AB21" s="367"/>
      <c r="AC21" s="367"/>
      <c r="AD21" s="367"/>
      <c r="AE21" s="367"/>
      <c r="AF21" s="367"/>
      <c r="AG21" s="367"/>
      <c r="AH21" s="367"/>
      <c r="AI21" s="238"/>
      <c r="AJ21" s="238"/>
      <c r="AK21" s="238"/>
      <c r="AL21" s="238"/>
      <c r="AM21" s="238"/>
      <c r="AN21" s="238"/>
      <c r="AO21" s="238"/>
      <c r="AP21" s="238"/>
      <c r="AQ21" s="238"/>
      <c r="AR21" s="238"/>
      <c r="AS21" s="238"/>
      <c r="AT21" s="238"/>
      <c r="AU21" s="238"/>
      <c r="AV21" s="238"/>
      <c r="AW21" s="238"/>
      <c r="AX21" s="238"/>
      <c r="AY21" s="238"/>
    </row>
    <row r="22" spans="1:51" s="7" customFormat="1" ht="21.95" customHeight="1" thickBot="1" x14ac:dyDescent="0.25">
      <c r="A22" s="207"/>
      <c r="B22" s="165"/>
      <c r="C22" s="96"/>
      <c r="D22" s="96"/>
      <c r="E22" s="182"/>
      <c r="F22" s="183"/>
      <c r="G22" s="220"/>
      <c r="H22" s="377"/>
      <c r="I22" s="366"/>
      <c r="J22" s="366"/>
      <c r="K22" s="366"/>
      <c r="L22" s="366"/>
      <c r="M22" s="366"/>
      <c r="N22" s="366"/>
      <c r="O22" s="366"/>
      <c r="P22" s="366"/>
      <c r="Q22" s="366"/>
      <c r="R22" s="366"/>
      <c r="S22" s="366"/>
      <c r="T22" s="366"/>
      <c r="U22" s="366"/>
      <c r="V22" s="366"/>
      <c r="W22" s="366"/>
      <c r="X22" s="366"/>
      <c r="Y22" s="367"/>
      <c r="Z22" s="367"/>
      <c r="AA22" s="367"/>
      <c r="AB22" s="367"/>
      <c r="AC22" s="367"/>
      <c r="AD22" s="367"/>
      <c r="AE22" s="367"/>
      <c r="AF22" s="367"/>
      <c r="AG22" s="367"/>
      <c r="AH22" s="367"/>
      <c r="AI22" s="238"/>
      <c r="AJ22" s="238"/>
      <c r="AK22" s="238"/>
      <c r="AL22" s="238"/>
      <c r="AM22" s="238"/>
      <c r="AN22" s="238"/>
      <c r="AO22" s="238"/>
      <c r="AP22" s="238"/>
      <c r="AQ22" s="238"/>
      <c r="AR22" s="238"/>
      <c r="AS22" s="238"/>
      <c r="AT22" s="238"/>
      <c r="AU22" s="238"/>
      <c r="AV22" s="238"/>
      <c r="AW22" s="238"/>
      <c r="AX22" s="238"/>
      <c r="AY22" s="238"/>
    </row>
    <row r="23" spans="1:51" s="8" customFormat="1" ht="25.5" customHeight="1" x14ac:dyDescent="0.2">
      <c r="A23" s="64" t="s">
        <v>392</v>
      </c>
      <c r="B23" s="160"/>
      <c r="C23" s="18"/>
      <c r="D23" s="18"/>
      <c r="E23" s="67" t="s">
        <v>229</v>
      </c>
      <c r="F23" s="91">
        <f>MIN(5,IF(SUM(F26:F31)&gt;10,10,SUM(F26:F31)))</f>
        <v>0</v>
      </c>
      <c r="G23" s="220" t="str">
        <f>IF(SUM(F26:F31)&gt;=5,"5 Point Maximum Reached","")</f>
        <v/>
      </c>
      <c r="H23" s="377"/>
      <c r="I23" s="366"/>
      <c r="J23" s="366"/>
      <c r="K23" s="366"/>
      <c r="L23" s="366"/>
      <c r="M23" s="366"/>
      <c r="N23" s="366"/>
      <c r="O23" s="366"/>
      <c r="P23" s="366"/>
      <c r="Q23" s="367"/>
      <c r="R23" s="367"/>
      <c r="S23" s="367"/>
      <c r="T23" s="367"/>
      <c r="U23" s="367"/>
      <c r="V23" s="367"/>
      <c r="W23" s="367"/>
      <c r="X23" s="367"/>
      <c r="Y23" s="367"/>
      <c r="Z23" s="367"/>
      <c r="AA23" s="367"/>
      <c r="AB23" s="367"/>
      <c r="AC23" s="367"/>
      <c r="AD23" s="367"/>
      <c r="AE23" s="367"/>
      <c r="AF23" s="367"/>
      <c r="AG23" s="367"/>
      <c r="AH23" s="383"/>
      <c r="AI23" s="239"/>
      <c r="AJ23" s="239"/>
      <c r="AK23" s="239"/>
      <c r="AL23" s="239"/>
      <c r="AM23" s="239"/>
      <c r="AN23" s="239"/>
      <c r="AO23" s="239"/>
      <c r="AP23" s="239"/>
      <c r="AQ23" s="239"/>
      <c r="AR23" s="239"/>
      <c r="AS23" s="239"/>
      <c r="AT23" s="239"/>
      <c r="AU23" s="239"/>
      <c r="AV23" s="239"/>
      <c r="AW23" s="239"/>
      <c r="AX23" s="239"/>
      <c r="AY23" s="239"/>
    </row>
    <row r="24" spans="1:51" s="8" customFormat="1" ht="13.7" customHeight="1" x14ac:dyDescent="0.2">
      <c r="A24" s="20" t="s">
        <v>23</v>
      </c>
      <c r="B24" s="161"/>
      <c r="C24" s="407" t="s">
        <v>464</v>
      </c>
      <c r="D24" s="60"/>
      <c r="E24" s="61"/>
      <c r="F24" s="90"/>
      <c r="G24" s="223"/>
      <c r="H24" s="366"/>
      <c r="I24" s="366"/>
      <c r="J24" s="366"/>
      <c r="K24" s="383" t="s">
        <v>305</v>
      </c>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239"/>
      <c r="AJ24" s="239"/>
      <c r="AK24" s="239"/>
      <c r="AL24" s="239"/>
      <c r="AM24" s="239"/>
      <c r="AN24" s="239"/>
      <c r="AO24" s="239"/>
      <c r="AP24" s="239"/>
      <c r="AQ24" s="239"/>
      <c r="AR24" s="239"/>
      <c r="AS24" s="239"/>
      <c r="AT24" s="239"/>
      <c r="AU24" s="239"/>
      <c r="AV24" s="239"/>
      <c r="AW24" s="239"/>
      <c r="AX24" s="239"/>
      <c r="AY24" s="239"/>
    </row>
    <row r="25" spans="1:51" s="12" customFormat="1" ht="51" customHeight="1" x14ac:dyDescent="0.2">
      <c r="A25" s="16" t="s">
        <v>310</v>
      </c>
      <c r="B25" s="162" t="s">
        <v>311</v>
      </c>
      <c r="C25" s="99" t="s">
        <v>223</v>
      </c>
      <c r="D25" s="102" t="s">
        <v>51</v>
      </c>
      <c r="E25" s="102" t="s">
        <v>429</v>
      </c>
      <c r="F25" s="56" t="s">
        <v>4</v>
      </c>
      <c r="G25" s="220"/>
      <c r="H25" s="366"/>
      <c r="I25" s="366"/>
      <c r="J25" s="393" t="s">
        <v>303</v>
      </c>
      <c r="K25" s="389" t="s">
        <v>40</v>
      </c>
      <c r="L25" s="389"/>
      <c r="M25" s="389" t="s">
        <v>25</v>
      </c>
      <c r="N25" s="389"/>
      <c r="O25" s="389"/>
      <c r="P25" s="383"/>
      <c r="Q25" s="394" t="s">
        <v>398</v>
      </c>
      <c r="R25" s="383"/>
      <c r="S25" s="383"/>
      <c r="T25" s="383"/>
      <c r="U25" s="383"/>
      <c r="V25" s="383"/>
      <c r="W25" s="383"/>
      <c r="X25" s="383"/>
      <c r="Y25" s="383"/>
      <c r="Z25" s="383"/>
      <c r="AA25" s="383"/>
      <c r="AB25" s="383"/>
      <c r="AC25" s="383"/>
      <c r="AD25" s="383"/>
      <c r="AE25" s="383"/>
      <c r="AF25" s="395"/>
      <c r="AG25" s="395"/>
      <c r="AH25" s="395"/>
      <c r="AI25" s="240"/>
      <c r="AJ25" s="240"/>
      <c r="AK25" s="240"/>
      <c r="AL25" s="240"/>
      <c r="AM25" s="240"/>
      <c r="AN25" s="240"/>
      <c r="AO25" s="240"/>
      <c r="AP25" s="240"/>
      <c r="AQ25" s="240"/>
      <c r="AR25" s="240"/>
      <c r="AS25" s="240"/>
      <c r="AT25" s="240"/>
      <c r="AU25" s="240"/>
      <c r="AV25" s="240"/>
      <c r="AW25" s="240"/>
      <c r="AX25" s="240"/>
      <c r="AY25" s="240"/>
    </row>
    <row r="26" spans="1:51" s="53" customFormat="1" ht="53.25" customHeight="1" x14ac:dyDescent="0.2">
      <c r="A26" s="295"/>
      <c r="B26" s="296"/>
      <c r="C26" s="119"/>
      <c r="D26" s="313"/>
      <c r="E26" s="338"/>
      <c r="F26" s="54" t="str">
        <f t="shared" ref="F26:F31" si="2">IF(D26="","",IF(OR(J26=TRUE,M26=TRUE,O26=TRUE),0,IF(H26=TRUE,E26*Cat2PointPerMonthChairs,IF(I26=TRUE,E26*Cat2PointPerMonthMembers,"0"))))</f>
        <v/>
      </c>
      <c r="G26" s="216" t="str">
        <f>IF(OR(A26="",B26=""),IF(Q26=TRUE,"You are missing dates for your CM points",""),IF(O26=TRUE,"Dates entered are not consistent with your CM Cycle Dates.",""))</f>
        <v/>
      </c>
      <c r="H26" s="385" t="b">
        <f>OR(D26="Chair or Vice Chair",D26="President or Vice President",D26="Past Chair/President (currently in office)",D26="R&amp;D Officer")</f>
        <v>0</v>
      </c>
      <c r="I26" s="366" t="b">
        <f>OR(D26="Director, Board or Committee Member (Not an Officer)")</f>
        <v>0</v>
      </c>
      <c r="J26" s="366" t="str">
        <f t="shared" ref="J26" si="3">IF(E26="","",IF(E26&gt;maxmonths,TRUE,FALSE))</f>
        <v/>
      </c>
      <c r="K26" s="389" t="b">
        <f t="shared" ref="K26:K27" si="4">AND(A26&lt;CMSTART)</f>
        <v>1</v>
      </c>
      <c r="L26" s="389" t="b">
        <f t="shared" ref="L26:L27" si="5">AND(A26&gt;CMEND)</f>
        <v>0</v>
      </c>
      <c r="M26" s="389" t="b">
        <f t="shared" ref="M26:M27" si="6">AND(B26&lt;CMSTART)</f>
        <v>1</v>
      </c>
      <c r="N26" s="389" t="b">
        <f t="shared" ref="N26" si="7">OR(B26&gt;CMEND,B26&lt;A26)</f>
        <v>0</v>
      </c>
      <c r="O26" s="389" t="b">
        <f>OR(K26=TRUE,L26=TRUE,M26=TRUE,N26=TRUE)</f>
        <v>1</v>
      </c>
      <c r="P26" s="395"/>
      <c r="Q26" s="389" t="b">
        <f>IF(AND(OR(A26="",B26=""),NOT(F26="")),TRUE,FALSE)</f>
        <v>0</v>
      </c>
      <c r="R26" s="395"/>
      <c r="S26" s="395"/>
      <c r="T26" s="395"/>
      <c r="U26" s="395"/>
      <c r="V26" s="395"/>
      <c r="W26" s="395"/>
      <c r="X26" s="395"/>
      <c r="Y26" s="395"/>
      <c r="Z26" s="395"/>
      <c r="AA26" s="395"/>
      <c r="AB26" s="395"/>
      <c r="AC26" s="395"/>
      <c r="AD26" s="395"/>
      <c r="AE26" s="395"/>
      <c r="AF26" s="396"/>
      <c r="AG26" s="396"/>
      <c r="AH26" s="396"/>
      <c r="AI26" s="241"/>
      <c r="AJ26" s="241"/>
      <c r="AK26" s="241"/>
      <c r="AL26" s="241"/>
      <c r="AM26" s="241"/>
      <c r="AN26" s="241"/>
      <c r="AO26" s="241"/>
      <c r="AP26" s="241"/>
      <c r="AQ26" s="241"/>
      <c r="AR26" s="241"/>
      <c r="AS26" s="241"/>
      <c r="AT26" s="241"/>
      <c r="AU26" s="241"/>
      <c r="AV26" s="241"/>
      <c r="AW26" s="241"/>
      <c r="AX26" s="241"/>
      <c r="AY26" s="241"/>
    </row>
    <row r="27" spans="1:51" s="53" customFormat="1" ht="53.25" customHeight="1" x14ac:dyDescent="0.2">
      <c r="A27" s="295"/>
      <c r="B27" s="296"/>
      <c r="C27" s="119"/>
      <c r="D27" s="313"/>
      <c r="E27" s="338"/>
      <c r="F27" s="54" t="str">
        <f t="shared" si="2"/>
        <v/>
      </c>
      <c r="G27" s="216" t="str">
        <f t="shared" ref="G27" si="8">IF(OR(A27="",B27=""),IF(Q27=TRUE,"You are missing dates for your CM points",""),IF(O27=TRUE,"Dates entered are not consistent with your CM Cycle Dates.",""))</f>
        <v/>
      </c>
      <c r="H27" s="385" t="b">
        <f t="shared" ref="H27" si="9">OR(D27="Chair or Vice Chair",D27="President or Vice President",D27="Past Chair/President (currently in office)",D27="R&amp;D Officer")</f>
        <v>0</v>
      </c>
      <c r="I27" s="366" t="b">
        <f t="shared" ref="I27" si="10">OR(D27="Director, Board or Committee Member (Not an Officer)")</f>
        <v>0</v>
      </c>
      <c r="J27" s="366" t="str">
        <f t="shared" ref="J27" si="11">IF(E27="","",IF(E27&gt;maxmonths,TRUE,FALSE))</f>
        <v/>
      </c>
      <c r="K27" s="389" t="b">
        <f t="shared" si="4"/>
        <v>1</v>
      </c>
      <c r="L27" s="389" t="b">
        <f t="shared" si="5"/>
        <v>0</v>
      </c>
      <c r="M27" s="389" t="b">
        <f t="shared" si="6"/>
        <v>1</v>
      </c>
      <c r="N27" s="389" t="b">
        <f t="shared" ref="N27" si="12">OR(B27&gt;CMEND,B27&lt;A27)</f>
        <v>0</v>
      </c>
      <c r="O27" s="389" t="b">
        <f t="shared" ref="O27:O31" si="13">OR(K27=TRUE,L27=TRUE,M27=TRUE,N27=TRUE)</f>
        <v>1</v>
      </c>
      <c r="P27" s="395"/>
      <c r="Q27" s="389" t="b">
        <f t="shared" ref="Q27" si="14">IF(AND(OR(A27="",B27=""),NOT(F27="")),TRUE,FALSE)</f>
        <v>0</v>
      </c>
      <c r="R27" s="396"/>
      <c r="S27" s="396"/>
      <c r="T27" s="396"/>
      <c r="U27" s="396"/>
      <c r="V27" s="396"/>
      <c r="W27" s="396"/>
      <c r="X27" s="396"/>
      <c r="Y27" s="396"/>
      <c r="Z27" s="396"/>
      <c r="AA27" s="396"/>
      <c r="AB27" s="396"/>
      <c r="AC27" s="396"/>
      <c r="AD27" s="396"/>
      <c r="AE27" s="396"/>
      <c r="AF27" s="396"/>
      <c r="AG27" s="396"/>
      <c r="AH27" s="396"/>
      <c r="AI27" s="241"/>
      <c r="AJ27" s="241"/>
      <c r="AK27" s="241"/>
      <c r="AL27" s="241"/>
      <c r="AM27" s="241"/>
      <c r="AN27" s="241"/>
      <c r="AO27" s="241"/>
      <c r="AP27" s="241"/>
      <c r="AQ27" s="241"/>
      <c r="AR27" s="241"/>
      <c r="AS27" s="241"/>
      <c r="AT27" s="241"/>
      <c r="AU27" s="241"/>
      <c r="AV27" s="241"/>
      <c r="AW27" s="241"/>
      <c r="AX27" s="241"/>
      <c r="AY27" s="241"/>
    </row>
    <row r="28" spans="1:51" s="53" customFormat="1" ht="53.25" customHeight="1" x14ac:dyDescent="0.2">
      <c r="A28" s="295"/>
      <c r="B28" s="296"/>
      <c r="C28" s="119"/>
      <c r="D28" s="313"/>
      <c r="E28" s="338"/>
      <c r="F28" s="54"/>
      <c r="G28" s="216"/>
      <c r="H28" s="385"/>
      <c r="I28" s="366"/>
      <c r="J28" s="366"/>
      <c r="K28" s="389"/>
      <c r="L28" s="389"/>
      <c r="M28" s="389"/>
      <c r="N28" s="389"/>
      <c r="O28" s="389"/>
      <c r="P28" s="395"/>
      <c r="Q28" s="389"/>
      <c r="R28" s="396"/>
      <c r="S28" s="396"/>
      <c r="T28" s="396"/>
      <c r="U28" s="396"/>
      <c r="V28" s="396"/>
      <c r="W28" s="396"/>
      <c r="X28" s="396"/>
      <c r="Y28" s="396"/>
      <c r="Z28" s="396"/>
      <c r="AA28" s="396"/>
      <c r="AB28" s="396"/>
      <c r="AC28" s="396"/>
      <c r="AD28" s="396"/>
      <c r="AE28" s="396"/>
      <c r="AF28" s="396"/>
      <c r="AG28" s="396"/>
      <c r="AH28" s="396"/>
      <c r="AI28" s="241"/>
      <c r="AJ28" s="241"/>
      <c r="AK28" s="241"/>
      <c r="AL28" s="241"/>
      <c r="AM28" s="241"/>
      <c r="AN28" s="241"/>
      <c r="AO28" s="241"/>
      <c r="AP28" s="241"/>
      <c r="AQ28" s="241"/>
      <c r="AR28" s="241"/>
      <c r="AS28" s="241"/>
      <c r="AT28" s="241"/>
      <c r="AU28" s="241"/>
      <c r="AV28" s="241"/>
      <c r="AW28" s="241"/>
      <c r="AX28" s="241"/>
      <c r="AY28" s="241"/>
    </row>
    <row r="29" spans="1:51" s="53" customFormat="1" ht="53.25" customHeight="1" x14ac:dyDescent="0.2">
      <c r="A29" s="295"/>
      <c r="B29" s="296"/>
      <c r="C29" s="119"/>
      <c r="D29" s="313"/>
      <c r="E29" s="338" t="str">
        <f t="shared" ref="E29" si="15">IF(OR(A29="",B29="",O29=TRUE),"",DATEDIF(A29,B29+15,"m"))</f>
        <v/>
      </c>
      <c r="F29" s="54" t="str">
        <f t="shared" si="2"/>
        <v/>
      </c>
      <c r="G29" s="216" t="str">
        <f>IF(OR(A29="",B29=""),IF(Q29=TRUE,"You are missing dates for your CM points",""),IF(O29=TRUE,"Dates entered are not consistent with your CM Cycle Dates.",""))</f>
        <v/>
      </c>
      <c r="H29" s="385" t="b">
        <f>OR(D29="Chair or Vice Chair",D29="President or Vice President",D29="Past Chair/President (currently in office)",D29="R&amp;D Officer")</f>
        <v>0</v>
      </c>
      <c r="I29" s="366" t="b">
        <f>OR(D29="Director, Board or Committee Member (Not an Officer)")</f>
        <v>0</v>
      </c>
      <c r="J29" s="366" t="str">
        <f>IF(E29="","",IF(E29&gt;maxmonths,TRUE,FALSE))</f>
        <v/>
      </c>
      <c r="K29" s="389" t="b">
        <f>AND(A29&lt;CMSTART)</f>
        <v>1</v>
      </c>
      <c r="L29" s="389" t="b">
        <f>AND(A29&gt;CMEND)</f>
        <v>0</v>
      </c>
      <c r="M29" s="389" t="b">
        <f>AND(B29&lt;CMSTART)</f>
        <v>1</v>
      </c>
      <c r="N29" s="389" t="b">
        <f>OR(B29&gt;CMEND,B29&lt;A29)</f>
        <v>0</v>
      </c>
      <c r="O29" s="389" t="b">
        <f t="shared" si="13"/>
        <v>1</v>
      </c>
      <c r="P29" s="395"/>
      <c r="Q29" s="389" t="b">
        <f>IF(AND(OR(A29="",B29=""),NOT(F29="")),TRUE,FALSE)</f>
        <v>0</v>
      </c>
      <c r="R29" s="396"/>
      <c r="S29" s="396"/>
      <c r="T29" s="396"/>
      <c r="U29" s="396"/>
      <c r="V29" s="396"/>
      <c r="W29" s="396"/>
      <c r="X29" s="396"/>
      <c r="Y29" s="396"/>
      <c r="Z29" s="396"/>
      <c r="AA29" s="396"/>
      <c r="AB29" s="396"/>
      <c r="AC29" s="396"/>
      <c r="AD29" s="396"/>
      <c r="AE29" s="396"/>
      <c r="AF29" s="396"/>
      <c r="AG29" s="396"/>
      <c r="AH29" s="396"/>
      <c r="AI29" s="241"/>
      <c r="AJ29" s="241"/>
      <c r="AK29" s="241"/>
      <c r="AL29" s="241"/>
      <c r="AM29" s="241"/>
      <c r="AN29" s="241"/>
      <c r="AO29" s="241"/>
      <c r="AP29" s="241"/>
      <c r="AQ29" s="241"/>
      <c r="AR29" s="241"/>
      <c r="AS29" s="241"/>
      <c r="AT29" s="241"/>
      <c r="AU29" s="241"/>
      <c r="AV29" s="241"/>
      <c r="AW29" s="241"/>
      <c r="AX29" s="241"/>
      <c r="AY29" s="241"/>
    </row>
    <row r="30" spans="1:51" s="53" customFormat="1" ht="53.25" customHeight="1" x14ac:dyDescent="0.2">
      <c r="A30" s="295"/>
      <c r="B30" s="296"/>
      <c r="C30" s="119"/>
      <c r="D30" s="300"/>
      <c r="E30" s="338"/>
      <c r="F30" s="54" t="str">
        <f t="shared" si="2"/>
        <v/>
      </c>
      <c r="G30" s="216" t="str">
        <f>IF(OR(A30="",B30=""),IF(Q30=TRUE,"You are missing dates for your CM points",""),IF(O30=TRUE,"Dates entered are not consistent with your CM Cycle Dates.",""))</f>
        <v/>
      </c>
      <c r="H30" s="385" t="b">
        <f>OR(D30="Chair or Vice Chair",D30="President or Vice President",D30="Past Chair/President (currently in office)",D30="R&amp;D Officer")</f>
        <v>0</v>
      </c>
      <c r="I30" s="366" t="b">
        <f>OR(D30="Director, Board or Committee Member (Not an Officer)")</f>
        <v>0</v>
      </c>
      <c r="J30" s="366" t="str">
        <f>IF(E30="","",IF(E30&gt;maxmonths,TRUE,FALSE))</f>
        <v/>
      </c>
      <c r="K30" s="389" t="b">
        <f>AND(A30&lt;CMSTART)</f>
        <v>1</v>
      </c>
      <c r="L30" s="389" t="b">
        <f>AND(A30&gt;CMEND)</f>
        <v>0</v>
      </c>
      <c r="M30" s="389" t="b">
        <f>AND(B30&lt;CMSTART)</f>
        <v>1</v>
      </c>
      <c r="N30" s="389" t="b">
        <f>OR(B30&gt;CMEND,B30&lt;A30)</f>
        <v>0</v>
      </c>
      <c r="O30" s="389" t="b">
        <f t="shared" si="13"/>
        <v>1</v>
      </c>
      <c r="P30" s="395"/>
      <c r="Q30" s="389" t="b">
        <f>IF(AND(OR(A30="",B30=""),NOT(F30="")),TRUE,FALSE)</f>
        <v>0</v>
      </c>
      <c r="R30" s="396"/>
      <c r="S30" s="396"/>
      <c r="T30" s="396"/>
      <c r="U30" s="396"/>
      <c r="V30" s="396"/>
      <c r="W30" s="396"/>
      <c r="X30" s="396"/>
      <c r="Y30" s="396"/>
      <c r="Z30" s="396"/>
      <c r="AA30" s="396"/>
      <c r="AB30" s="396"/>
      <c r="AC30" s="396"/>
      <c r="AD30" s="396"/>
      <c r="AE30" s="396"/>
      <c r="AF30" s="396"/>
      <c r="AG30" s="396"/>
      <c r="AH30" s="396"/>
      <c r="AI30" s="241"/>
      <c r="AJ30" s="241"/>
      <c r="AK30" s="241"/>
      <c r="AL30" s="241"/>
      <c r="AM30" s="241"/>
      <c r="AN30" s="241"/>
      <c r="AO30" s="241"/>
      <c r="AP30" s="241"/>
      <c r="AQ30" s="241"/>
      <c r="AR30" s="241"/>
      <c r="AS30" s="241"/>
      <c r="AT30" s="241"/>
      <c r="AU30" s="241"/>
      <c r="AV30" s="241"/>
      <c r="AW30" s="241"/>
      <c r="AX30" s="241"/>
      <c r="AY30" s="241"/>
    </row>
    <row r="31" spans="1:51" s="53" customFormat="1" ht="53.25" customHeight="1" thickBot="1" x14ac:dyDescent="0.25">
      <c r="A31" s="295"/>
      <c r="B31" s="296"/>
      <c r="C31" s="303"/>
      <c r="D31" s="305"/>
      <c r="E31" s="338" t="str">
        <f>IF(OR(A31="",B31="",O31=TRUE),"",DATEDIF(A31,B31+15,"m"))</f>
        <v/>
      </c>
      <c r="F31" s="54" t="str">
        <f t="shared" si="2"/>
        <v/>
      </c>
      <c r="G31" s="216" t="str">
        <f>IF(OR(A31="",B31=""),IF(Q31=TRUE,"You are missing dates for your CM points",""),IF(O31=TRUE,"Dates entered are not consistent with your CM Cycle Dates.",""))</f>
        <v/>
      </c>
      <c r="H31" s="385" t="b">
        <f>OR(D31="Chair or Vice Chair",D31="President or Vice President",D31="Past Chair/President (currently in office)",D31="R&amp;D Officer")</f>
        <v>0</v>
      </c>
      <c r="I31" s="366" t="b">
        <f>OR(D31="Director, Board or Committee Member (Not an Officer)")</f>
        <v>0</v>
      </c>
      <c r="J31" s="366" t="str">
        <f>IF(E31="","",IF(E31&gt;maxmonths,TRUE,FALSE))</f>
        <v/>
      </c>
      <c r="K31" s="389" t="b">
        <f>AND(A31&lt;CMSTART)</f>
        <v>1</v>
      </c>
      <c r="L31" s="389" t="b">
        <f>AND(A31&gt;CMEND)</f>
        <v>0</v>
      </c>
      <c r="M31" s="389" t="b">
        <f>AND(B31&lt;CMSTART)</f>
        <v>1</v>
      </c>
      <c r="N31" s="389" t="b">
        <f>OR(B31&gt;CMEND,B31&lt;A31)</f>
        <v>0</v>
      </c>
      <c r="O31" s="389" t="b">
        <f t="shared" si="13"/>
        <v>1</v>
      </c>
      <c r="P31" s="395"/>
      <c r="Q31" s="389" t="b">
        <f>IF(AND(OR(A31="",B31=""),NOT(F31="")),TRUE,FALSE)</f>
        <v>0</v>
      </c>
      <c r="R31" s="396"/>
      <c r="S31" s="396"/>
      <c r="T31" s="396"/>
      <c r="U31" s="396"/>
      <c r="V31" s="396"/>
      <c r="W31" s="396"/>
      <c r="X31" s="396"/>
      <c r="Y31" s="396"/>
      <c r="Z31" s="396"/>
      <c r="AA31" s="396"/>
      <c r="AB31" s="396"/>
      <c r="AC31" s="396"/>
      <c r="AD31" s="396"/>
      <c r="AE31" s="396"/>
      <c r="AF31" s="396"/>
      <c r="AG31" s="396"/>
      <c r="AH31" s="396"/>
      <c r="AI31" s="241"/>
      <c r="AJ31" s="241"/>
      <c r="AK31" s="241"/>
      <c r="AL31" s="241"/>
      <c r="AM31" s="241"/>
      <c r="AN31" s="241"/>
      <c r="AO31" s="241"/>
      <c r="AP31" s="241"/>
      <c r="AQ31" s="241"/>
      <c r="AR31" s="241"/>
      <c r="AS31" s="241"/>
      <c r="AT31" s="241"/>
      <c r="AU31" s="241"/>
      <c r="AV31" s="241"/>
      <c r="AW31" s="241"/>
      <c r="AX31" s="241"/>
      <c r="AY31" s="241"/>
    </row>
    <row r="32" spans="1:51" s="53" customFormat="1" ht="21.95" customHeight="1" thickBot="1" x14ac:dyDescent="0.25">
      <c r="A32" s="207"/>
      <c r="B32" s="165"/>
      <c r="C32" s="96"/>
      <c r="D32" s="96"/>
      <c r="E32" s="182"/>
      <c r="F32" s="183"/>
      <c r="G32" s="216"/>
      <c r="H32" s="385"/>
      <c r="I32" s="366"/>
      <c r="J32" s="366"/>
      <c r="K32" s="389"/>
      <c r="L32" s="389"/>
      <c r="M32" s="389"/>
      <c r="N32" s="389"/>
      <c r="O32" s="389"/>
      <c r="P32" s="395"/>
      <c r="Q32" s="389"/>
      <c r="R32" s="396"/>
      <c r="S32" s="396"/>
      <c r="T32" s="396"/>
      <c r="U32" s="396"/>
      <c r="V32" s="396"/>
      <c r="W32" s="396"/>
      <c r="X32" s="396"/>
      <c r="Y32" s="396"/>
      <c r="Z32" s="396"/>
      <c r="AA32" s="396"/>
      <c r="AB32" s="396"/>
      <c r="AC32" s="396"/>
      <c r="AD32" s="396"/>
      <c r="AE32" s="396"/>
      <c r="AF32" s="396"/>
      <c r="AG32" s="396"/>
      <c r="AH32" s="396"/>
      <c r="AI32" s="241"/>
      <c r="AJ32" s="241"/>
      <c r="AK32" s="241"/>
      <c r="AL32" s="241"/>
      <c r="AM32" s="241"/>
      <c r="AN32" s="241"/>
      <c r="AO32" s="241"/>
      <c r="AP32" s="241"/>
      <c r="AQ32" s="241"/>
      <c r="AR32" s="241"/>
      <c r="AS32" s="241"/>
      <c r="AT32" s="241"/>
      <c r="AU32" s="241"/>
      <c r="AV32" s="241"/>
      <c r="AW32" s="241"/>
      <c r="AX32" s="241"/>
      <c r="AY32" s="241"/>
    </row>
    <row r="33" spans="1:51" s="8" customFormat="1" ht="20.25" customHeight="1" x14ac:dyDescent="0.2">
      <c r="A33" s="64" t="s">
        <v>391</v>
      </c>
      <c r="B33" s="163"/>
      <c r="C33" s="18"/>
      <c r="D33" s="18"/>
      <c r="E33" s="67" t="s">
        <v>7</v>
      </c>
      <c r="F33" s="91">
        <f>SUM(F36:F40)</f>
        <v>0</v>
      </c>
      <c r="G33" s="223"/>
      <c r="H33" s="385"/>
      <c r="I33" s="366"/>
      <c r="J33" s="366"/>
      <c r="K33" s="366"/>
      <c r="L33" s="366"/>
      <c r="M33" s="366"/>
      <c r="N33" s="396"/>
      <c r="O33" s="396"/>
      <c r="P33" s="396"/>
      <c r="Q33" s="396"/>
      <c r="R33" s="396"/>
      <c r="S33" s="396"/>
      <c r="T33" s="396"/>
      <c r="U33" s="396"/>
      <c r="V33" s="396"/>
      <c r="W33" s="396"/>
      <c r="X33" s="396"/>
      <c r="Y33" s="396"/>
      <c r="Z33" s="396"/>
      <c r="AA33" s="396"/>
      <c r="AB33" s="396"/>
      <c r="AC33" s="396"/>
      <c r="AD33" s="396"/>
      <c r="AE33" s="396"/>
      <c r="AF33" s="383"/>
      <c r="AG33" s="383"/>
      <c r="AH33" s="383"/>
      <c r="AI33" s="239"/>
      <c r="AJ33" s="239"/>
      <c r="AK33" s="239"/>
      <c r="AL33" s="239"/>
      <c r="AM33" s="239"/>
      <c r="AN33" s="239"/>
      <c r="AO33" s="239"/>
      <c r="AP33" s="239"/>
      <c r="AQ33" s="239"/>
      <c r="AR33" s="239"/>
      <c r="AS33" s="239"/>
      <c r="AT33" s="239"/>
      <c r="AU33" s="239"/>
      <c r="AV33" s="239"/>
      <c r="AW33" s="239"/>
      <c r="AX33" s="239"/>
      <c r="AY33" s="239"/>
    </row>
    <row r="34" spans="1:51" s="8" customFormat="1" ht="13.7" customHeight="1" x14ac:dyDescent="0.2">
      <c r="A34" s="20" t="s">
        <v>23</v>
      </c>
      <c r="B34" s="161"/>
      <c r="C34" s="21" t="s">
        <v>465</v>
      </c>
      <c r="D34" s="22"/>
      <c r="E34" s="339"/>
      <c r="F34" s="90"/>
      <c r="G34" s="223"/>
      <c r="H34" s="366"/>
      <c r="I34" s="366"/>
      <c r="J34" s="366"/>
      <c r="K34" s="366"/>
      <c r="L34" s="366"/>
      <c r="M34" s="366"/>
      <c r="N34" s="383"/>
      <c r="O34" s="383"/>
      <c r="P34" s="383"/>
      <c r="Q34" s="383"/>
      <c r="R34" s="383"/>
      <c r="S34" s="383"/>
      <c r="T34" s="383"/>
      <c r="U34" s="383"/>
      <c r="V34" s="383"/>
      <c r="W34" s="383"/>
      <c r="X34" s="383"/>
      <c r="Y34" s="383"/>
      <c r="Z34" s="383"/>
      <c r="AA34" s="383"/>
      <c r="AB34" s="383"/>
      <c r="AC34" s="383"/>
      <c r="AD34" s="383"/>
      <c r="AE34" s="383"/>
      <c r="AF34" s="383"/>
      <c r="AG34" s="383"/>
      <c r="AH34" s="383"/>
      <c r="AI34" s="239"/>
      <c r="AJ34" s="239"/>
      <c r="AK34" s="239"/>
      <c r="AL34" s="239"/>
      <c r="AM34" s="239"/>
      <c r="AN34" s="239"/>
      <c r="AO34" s="239"/>
      <c r="AP34" s="239"/>
      <c r="AQ34" s="239"/>
      <c r="AR34" s="239"/>
      <c r="AS34" s="239"/>
      <c r="AT34" s="239"/>
      <c r="AU34" s="239"/>
      <c r="AV34" s="239"/>
      <c r="AW34" s="239"/>
      <c r="AX34" s="239"/>
      <c r="AY34" s="239"/>
    </row>
    <row r="35" spans="1:51" s="12" customFormat="1" ht="31.7" customHeight="1" x14ac:dyDescent="0.2">
      <c r="A35" s="179"/>
      <c r="B35" s="162" t="s">
        <v>312</v>
      </c>
      <c r="C35" s="102" t="s">
        <v>374</v>
      </c>
      <c r="D35" s="102" t="s">
        <v>51</v>
      </c>
      <c r="E35" s="102" t="s">
        <v>24</v>
      </c>
      <c r="F35" s="56" t="s">
        <v>4</v>
      </c>
      <c r="G35" s="220"/>
      <c r="H35" s="366"/>
      <c r="I35" s="366"/>
      <c r="J35" s="366"/>
      <c r="K35" s="366"/>
      <c r="L35" s="366"/>
      <c r="M35" s="366" t="s">
        <v>282</v>
      </c>
      <c r="N35" s="383"/>
      <c r="O35" s="383"/>
      <c r="P35" s="383"/>
      <c r="Q35" s="394" t="s">
        <v>398</v>
      </c>
      <c r="R35" s="383"/>
      <c r="S35" s="383"/>
      <c r="T35" s="383"/>
      <c r="U35" s="383"/>
      <c r="V35" s="383"/>
      <c r="W35" s="383"/>
      <c r="X35" s="383"/>
      <c r="Y35" s="383"/>
      <c r="Z35" s="383"/>
      <c r="AA35" s="383"/>
      <c r="AB35" s="383"/>
      <c r="AC35" s="383"/>
      <c r="AD35" s="383"/>
      <c r="AE35" s="383"/>
      <c r="AF35" s="395"/>
      <c r="AG35" s="395"/>
      <c r="AH35" s="395"/>
      <c r="AI35" s="240"/>
      <c r="AJ35" s="240"/>
      <c r="AK35" s="240"/>
      <c r="AL35" s="240"/>
      <c r="AM35" s="240"/>
      <c r="AN35" s="240"/>
      <c r="AO35" s="240"/>
      <c r="AP35" s="240"/>
      <c r="AQ35" s="240"/>
      <c r="AR35" s="240"/>
      <c r="AS35" s="240"/>
      <c r="AT35" s="240"/>
      <c r="AU35" s="240"/>
      <c r="AV35" s="240"/>
      <c r="AW35" s="240"/>
      <c r="AX35" s="240"/>
      <c r="AY35" s="240"/>
    </row>
    <row r="36" spans="1:51" s="7" customFormat="1" ht="54" customHeight="1" x14ac:dyDescent="0.2">
      <c r="A36" s="180"/>
      <c r="B36" s="309"/>
      <c r="C36" s="119"/>
      <c r="D36" s="310"/>
      <c r="E36" s="311"/>
      <c r="F36" s="272"/>
      <c r="G36" s="216"/>
      <c r="H36" s="366"/>
      <c r="I36" s="366"/>
      <c r="J36" s="366"/>
      <c r="K36" s="366"/>
      <c r="L36" s="366"/>
      <c r="M36" s="366"/>
      <c r="N36" s="366"/>
      <c r="O36" s="366"/>
      <c r="P36" s="395"/>
      <c r="Q36" s="389"/>
      <c r="R36" s="395"/>
      <c r="S36" s="395"/>
      <c r="T36" s="395"/>
      <c r="U36" s="395"/>
      <c r="V36" s="395"/>
      <c r="W36" s="395"/>
      <c r="X36" s="395"/>
      <c r="Y36" s="395"/>
      <c r="Z36" s="366"/>
      <c r="AA36" s="366"/>
      <c r="AB36" s="366"/>
      <c r="AC36" s="366"/>
      <c r="AD36" s="366"/>
      <c r="AE36" s="366"/>
      <c r="AF36" s="367"/>
      <c r="AG36" s="367"/>
      <c r="AH36" s="367"/>
      <c r="AI36" s="238"/>
      <c r="AJ36" s="238"/>
      <c r="AK36" s="238"/>
      <c r="AL36" s="238"/>
      <c r="AM36" s="238"/>
      <c r="AN36" s="238"/>
      <c r="AO36" s="238"/>
      <c r="AP36" s="238"/>
      <c r="AQ36" s="238"/>
      <c r="AR36" s="238"/>
      <c r="AS36" s="238"/>
      <c r="AT36" s="238"/>
      <c r="AU36" s="238"/>
      <c r="AV36" s="238"/>
      <c r="AW36" s="238"/>
      <c r="AX36" s="238"/>
      <c r="AY36" s="238"/>
    </row>
    <row r="37" spans="1:51" s="7" customFormat="1" ht="54" customHeight="1" x14ac:dyDescent="0.2">
      <c r="A37" s="180"/>
      <c r="B37" s="309"/>
      <c r="C37" s="119"/>
      <c r="D37" s="310"/>
      <c r="E37" s="311"/>
      <c r="F37" s="272"/>
      <c r="G37" s="216"/>
      <c r="H37" s="366"/>
      <c r="I37" s="366"/>
      <c r="J37" s="366"/>
      <c r="K37" s="366"/>
      <c r="L37" s="366"/>
      <c r="M37" s="366"/>
      <c r="N37" s="366"/>
      <c r="O37" s="366"/>
      <c r="P37" s="367"/>
      <c r="Q37" s="389"/>
      <c r="R37" s="367"/>
      <c r="S37" s="367"/>
      <c r="T37" s="367"/>
      <c r="U37" s="367"/>
      <c r="V37" s="367"/>
      <c r="W37" s="367"/>
      <c r="X37" s="367"/>
      <c r="Y37" s="367"/>
      <c r="Z37" s="366"/>
      <c r="AA37" s="366"/>
      <c r="AB37" s="366"/>
      <c r="AC37" s="366"/>
      <c r="AD37" s="366"/>
      <c r="AE37" s="366"/>
      <c r="AF37" s="367"/>
      <c r="AG37" s="367"/>
      <c r="AH37" s="367"/>
      <c r="AI37" s="238"/>
      <c r="AJ37" s="238"/>
      <c r="AK37" s="238"/>
      <c r="AL37" s="238"/>
      <c r="AM37" s="238"/>
      <c r="AN37" s="238"/>
      <c r="AO37" s="238"/>
      <c r="AP37" s="238"/>
      <c r="AQ37" s="238"/>
      <c r="AR37" s="238"/>
      <c r="AS37" s="238"/>
      <c r="AT37" s="238"/>
      <c r="AU37" s="238"/>
      <c r="AV37" s="238"/>
      <c r="AW37" s="238"/>
      <c r="AX37" s="238"/>
      <c r="AY37" s="238"/>
    </row>
    <row r="38" spans="1:51" s="7" customFormat="1" ht="54" customHeight="1" x14ac:dyDescent="0.2">
      <c r="A38" s="180"/>
      <c r="B38" s="309"/>
      <c r="C38" s="119"/>
      <c r="D38" s="310"/>
      <c r="E38" s="311"/>
      <c r="F38" s="272"/>
      <c r="G38" s="216"/>
      <c r="H38" s="366"/>
      <c r="I38" s="366"/>
      <c r="J38" s="366"/>
      <c r="K38" s="366"/>
      <c r="L38" s="366"/>
      <c r="M38" s="366"/>
      <c r="N38" s="366"/>
      <c r="O38" s="366"/>
      <c r="P38" s="367"/>
      <c r="Q38" s="389"/>
      <c r="R38" s="367"/>
      <c r="S38" s="367"/>
      <c r="T38" s="367"/>
      <c r="U38" s="367"/>
      <c r="V38" s="367"/>
      <c r="W38" s="367"/>
      <c r="X38" s="367"/>
      <c r="Y38" s="367"/>
      <c r="Z38" s="366"/>
      <c r="AA38" s="366"/>
      <c r="AB38" s="366"/>
      <c r="AC38" s="366"/>
      <c r="AD38" s="366"/>
      <c r="AE38" s="366"/>
      <c r="AF38" s="367"/>
      <c r="AG38" s="367"/>
      <c r="AH38" s="367"/>
      <c r="AI38" s="238"/>
      <c r="AJ38" s="238"/>
      <c r="AK38" s="238"/>
      <c r="AL38" s="238"/>
      <c r="AM38" s="238"/>
      <c r="AN38" s="238"/>
      <c r="AO38" s="238"/>
      <c r="AP38" s="238"/>
      <c r="AQ38" s="238"/>
      <c r="AR38" s="238"/>
      <c r="AS38" s="238"/>
      <c r="AT38" s="238"/>
      <c r="AU38" s="238"/>
      <c r="AV38" s="238"/>
      <c r="AW38" s="238"/>
      <c r="AX38" s="238"/>
      <c r="AY38" s="238"/>
    </row>
    <row r="39" spans="1:51" s="7" customFormat="1" ht="54" customHeight="1" x14ac:dyDescent="0.2">
      <c r="A39" s="180"/>
      <c r="B39" s="309"/>
      <c r="C39" s="119"/>
      <c r="D39" s="310"/>
      <c r="E39" s="311"/>
      <c r="F39" s="272"/>
      <c r="G39" s="216"/>
      <c r="H39" s="366"/>
      <c r="I39" s="366"/>
      <c r="J39" s="366"/>
      <c r="K39" s="366"/>
      <c r="L39" s="366"/>
      <c r="M39" s="366"/>
      <c r="N39" s="366"/>
      <c r="O39" s="366"/>
      <c r="P39" s="367"/>
      <c r="Q39" s="389"/>
      <c r="R39" s="367"/>
      <c r="S39" s="367"/>
      <c r="T39" s="367"/>
      <c r="U39" s="367"/>
      <c r="V39" s="367"/>
      <c r="W39" s="367"/>
      <c r="X39" s="367"/>
      <c r="Y39" s="367"/>
      <c r="Z39" s="366"/>
      <c r="AA39" s="366"/>
      <c r="AB39" s="366"/>
      <c r="AC39" s="366"/>
      <c r="AD39" s="366"/>
      <c r="AE39" s="366"/>
      <c r="AF39" s="367"/>
      <c r="AG39" s="367"/>
      <c r="AH39" s="367"/>
      <c r="AI39" s="238"/>
      <c r="AJ39" s="238"/>
      <c r="AK39" s="238"/>
      <c r="AL39" s="238"/>
      <c r="AM39" s="238"/>
      <c r="AN39" s="238"/>
      <c r="AO39" s="238"/>
      <c r="AP39" s="238"/>
      <c r="AQ39" s="238"/>
      <c r="AR39" s="238"/>
      <c r="AS39" s="238"/>
      <c r="AT39" s="238"/>
      <c r="AU39" s="238"/>
      <c r="AV39" s="238"/>
      <c r="AW39" s="238"/>
      <c r="AX39" s="238"/>
      <c r="AY39" s="238"/>
    </row>
    <row r="40" spans="1:51" s="7" customFormat="1" ht="54" customHeight="1" thickBot="1" x14ac:dyDescent="0.25">
      <c r="A40" s="181"/>
      <c r="B40" s="309"/>
      <c r="C40" s="103"/>
      <c r="D40" s="310"/>
      <c r="E40" s="312"/>
      <c r="F40" s="272"/>
      <c r="G40" s="216"/>
      <c r="H40" s="366"/>
      <c r="I40" s="366"/>
      <c r="J40" s="366"/>
      <c r="K40" s="366"/>
      <c r="L40" s="366"/>
      <c r="M40" s="366"/>
      <c r="N40" s="366"/>
      <c r="O40" s="366"/>
      <c r="P40" s="367"/>
      <c r="Q40" s="389"/>
      <c r="R40" s="367"/>
      <c r="S40" s="367"/>
      <c r="T40" s="367"/>
      <c r="U40" s="367"/>
      <c r="V40" s="367"/>
      <c r="W40" s="367"/>
      <c r="X40" s="367"/>
      <c r="Y40" s="367"/>
      <c r="Z40" s="366"/>
      <c r="AA40" s="366"/>
      <c r="AB40" s="366"/>
      <c r="AC40" s="366"/>
      <c r="AD40" s="366"/>
      <c r="AE40" s="366"/>
      <c r="AF40" s="367"/>
      <c r="AG40" s="367"/>
      <c r="AH40" s="367"/>
      <c r="AI40" s="238"/>
      <c r="AJ40" s="238"/>
      <c r="AK40" s="238"/>
      <c r="AL40" s="238"/>
      <c r="AM40" s="238"/>
      <c r="AN40" s="238"/>
      <c r="AO40" s="238"/>
      <c r="AP40" s="238"/>
      <c r="AQ40" s="238"/>
      <c r="AR40" s="238"/>
      <c r="AS40" s="238"/>
      <c r="AT40" s="238"/>
      <c r="AU40" s="238"/>
      <c r="AV40" s="238"/>
      <c r="AW40" s="238"/>
      <c r="AX40" s="238"/>
      <c r="AY40" s="238"/>
    </row>
    <row r="41" spans="1:51" s="7" customFormat="1" ht="23.1" customHeight="1" thickBot="1" x14ac:dyDescent="0.25">
      <c r="A41" s="329"/>
      <c r="B41" s="330"/>
      <c r="C41" s="331"/>
      <c r="D41" s="331"/>
      <c r="E41" s="332"/>
      <c r="F41" s="333"/>
      <c r="G41" s="216"/>
      <c r="H41" s="366"/>
      <c r="I41" s="366"/>
      <c r="J41" s="366"/>
      <c r="K41" s="366"/>
      <c r="L41" s="366"/>
      <c r="M41" s="366"/>
      <c r="N41" s="366"/>
      <c r="O41" s="366"/>
      <c r="P41" s="367"/>
      <c r="Q41" s="389"/>
      <c r="R41" s="367"/>
      <c r="S41" s="367"/>
      <c r="T41" s="367"/>
      <c r="U41" s="367"/>
      <c r="V41" s="367"/>
      <c r="W41" s="367"/>
      <c r="X41" s="367"/>
      <c r="Y41" s="367"/>
      <c r="Z41" s="366"/>
      <c r="AA41" s="366"/>
      <c r="AB41" s="366"/>
      <c r="AC41" s="366"/>
      <c r="AD41" s="366"/>
      <c r="AE41" s="366"/>
      <c r="AF41" s="367"/>
      <c r="AG41" s="367"/>
      <c r="AH41" s="367"/>
      <c r="AI41" s="238"/>
      <c r="AJ41" s="238"/>
      <c r="AK41" s="238"/>
      <c r="AL41" s="238"/>
      <c r="AM41" s="238"/>
      <c r="AN41" s="238"/>
      <c r="AO41" s="238"/>
      <c r="AP41" s="238"/>
      <c r="AQ41" s="238"/>
      <c r="AR41" s="238"/>
      <c r="AS41" s="238"/>
      <c r="AT41" s="238"/>
      <c r="AU41" s="238"/>
      <c r="AV41" s="238"/>
      <c r="AW41" s="238"/>
      <c r="AX41" s="238"/>
      <c r="AY41" s="238"/>
    </row>
    <row r="42" spans="1:51" s="8" customFormat="1" ht="18" customHeight="1" x14ac:dyDescent="0.2">
      <c r="A42" s="64" t="s">
        <v>5</v>
      </c>
      <c r="B42" s="163"/>
      <c r="C42" s="18"/>
      <c r="D42" s="18"/>
      <c r="E42" s="114" t="s">
        <v>231</v>
      </c>
      <c r="F42" s="92">
        <f>SUM(F43,F44,F45)</f>
        <v>0</v>
      </c>
      <c r="G42" s="223"/>
      <c r="H42" s="366"/>
      <c r="I42" s="366"/>
      <c r="J42" s="366"/>
      <c r="K42" s="366"/>
      <c r="L42" s="366"/>
      <c r="M42" s="366"/>
      <c r="N42" s="367"/>
      <c r="O42" s="367"/>
      <c r="P42" s="367"/>
      <c r="Q42" s="367"/>
      <c r="R42" s="367"/>
      <c r="S42" s="367"/>
      <c r="T42" s="367"/>
      <c r="U42" s="367"/>
      <c r="V42" s="367"/>
      <c r="W42" s="367"/>
      <c r="X42" s="367"/>
      <c r="Y42" s="367"/>
      <c r="Z42" s="367"/>
      <c r="AA42" s="367"/>
      <c r="AB42" s="367"/>
      <c r="AC42" s="367"/>
      <c r="AD42" s="367"/>
      <c r="AE42" s="367"/>
      <c r="AF42" s="383"/>
      <c r="AG42" s="383"/>
      <c r="AH42" s="383"/>
      <c r="AI42" s="239"/>
      <c r="AJ42" s="239"/>
      <c r="AK42" s="239"/>
      <c r="AL42" s="239"/>
      <c r="AM42" s="239"/>
      <c r="AN42" s="239"/>
      <c r="AO42" s="239"/>
      <c r="AP42" s="239"/>
      <c r="AQ42" s="239"/>
      <c r="AR42" s="239"/>
      <c r="AS42" s="239"/>
      <c r="AT42" s="239"/>
      <c r="AU42" s="239"/>
      <c r="AV42" s="239"/>
      <c r="AW42" s="239"/>
      <c r="AX42" s="239"/>
      <c r="AY42" s="239"/>
    </row>
    <row r="43" spans="1:51" s="8" customFormat="1" ht="12.75" customHeight="1" x14ac:dyDescent="0.2">
      <c r="A43" s="20"/>
      <c r="B43" s="161"/>
      <c r="C43" s="21"/>
      <c r="D43" s="22"/>
      <c r="E43" s="113" t="s">
        <v>119</v>
      </c>
      <c r="F43" s="93">
        <f>SUMIF(E105:E111,"Product Stewardship",F105:F111)+SUMIF(E48:E102,"Product Stewardship",F48:F102)</f>
        <v>0</v>
      </c>
      <c r="G43" s="220" t="str">
        <f>"Product Stewardship Points - " &amp; IF(F43&gt;=R2,"Minimum Achieved","Minimum ("&amp;R2&amp;") Not Achieved")</f>
        <v>Product Stewardship Points - Minimum (5) Not Achieved</v>
      </c>
      <c r="H43" s="366" t="s">
        <v>443</v>
      </c>
      <c r="I43" s="366"/>
      <c r="J43" s="366"/>
      <c r="K43" s="366"/>
      <c r="L43" s="366"/>
      <c r="M43" s="366"/>
      <c r="N43" s="383"/>
      <c r="O43" s="383"/>
      <c r="P43" s="383"/>
      <c r="Q43" s="383"/>
      <c r="R43" s="383"/>
      <c r="S43" s="383"/>
      <c r="T43" s="383"/>
      <c r="U43" s="383"/>
      <c r="V43" s="383"/>
      <c r="W43" s="383"/>
      <c r="X43" s="383"/>
      <c r="Y43" s="383"/>
      <c r="Z43" s="383"/>
      <c r="AA43" s="383"/>
      <c r="AB43" s="383"/>
      <c r="AC43" s="383"/>
      <c r="AD43" s="383"/>
      <c r="AE43" s="383"/>
      <c r="AF43" s="383"/>
      <c r="AG43" s="383"/>
      <c r="AH43" s="383"/>
      <c r="AI43" s="239"/>
      <c r="AJ43" s="239"/>
      <c r="AK43" s="239"/>
      <c r="AL43" s="239"/>
      <c r="AM43" s="239"/>
      <c r="AN43" s="239"/>
      <c r="AO43" s="239"/>
      <c r="AP43" s="239"/>
      <c r="AQ43" s="239"/>
      <c r="AR43" s="239"/>
      <c r="AS43" s="239"/>
      <c r="AT43" s="239"/>
      <c r="AU43" s="239"/>
      <c r="AV43" s="239"/>
      <c r="AW43" s="239"/>
      <c r="AX43" s="239"/>
      <c r="AY43" s="239"/>
    </row>
    <row r="44" spans="1:51" s="8" customFormat="1" ht="12.75" customHeight="1" x14ac:dyDescent="0.2">
      <c r="A44" s="20" t="s">
        <v>23</v>
      </c>
      <c r="B44" s="161"/>
      <c r="C44" s="21" t="s">
        <v>466</v>
      </c>
      <c r="D44" s="22"/>
      <c r="E44" s="113" t="s">
        <v>375</v>
      </c>
      <c r="F44" s="93">
        <f>IF(SUMIF(E105:E111,"Ethics",F105:F111)+SUMIF(E48:E102,"Ethics",F48:F102)&gt;1,1,SUMIF(E105:E111,"Ethics",F105:F111)+(SUMIF(E48:E102,"Ethics",F48:F102)))</f>
        <v>0</v>
      </c>
      <c r="G44" s="220" t="str">
        <f>IF(SUMIF(E105:E111,"Ethics",F105:F111)+(SUMIF(E48:E102,"Ethics",F48:F102))&gt;=1,"Ethics Points - Maximum Reached",IF(AND(F44&gt;=0.33,F44&lt;1),"Ethics Points - Minimum Achieved","Ethics Points - Minimum Not Achieved"))</f>
        <v>Ethics Points - Minimum Not Achieved</v>
      </c>
      <c r="H44" s="366"/>
      <c r="I44" s="366"/>
      <c r="J44" s="366"/>
      <c r="K44" s="366"/>
      <c r="L44" s="366"/>
      <c r="M44" s="366"/>
      <c r="N44" s="383"/>
      <c r="O44" s="383"/>
      <c r="P44" s="383"/>
      <c r="Q44" s="383"/>
      <c r="R44" s="383"/>
      <c r="S44" s="383"/>
      <c r="T44" s="383"/>
      <c r="U44" s="383"/>
      <c r="V44" s="383"/>
      <c r="W44" s="383"/>
      <c r="X44" s="383"/>
      <c r="Y44" s="383"/>
      <c r="Z44" s="383"/>
      <c r="AA44" s="383"/>
      <c r="AB44" s="383"/>
      <c r="AC44" s="383"/>
      <c r="AD44" s="383"/>
      <c r="AE44" s="383"/>
      <c r="AF44" s="383"/>
      <c r="AG44" s="383"/>
      <c r="AH44" s="383"/>
      <c r="AI44" s="239"/>
      <c r="AJ44" s="239"/>
      <c r="AK44" s="239"/>
      <c r="AL44" s="239"/>
      <c r="AM44" s="239"/>
      <c r="AN44" s="239"/>
      <c r="AO44" s="239"/>
      <c r="AP44" s="239"/>
      <c r="AQ44" s="239"/>
      <c r="AR44" s="239"/>
      <c r="AS44" s="239"/>
      <c r="AT44" s="239"/>
      <c r="AU44" s="239"/>
      <c r="AV44" s="239"/>
      <c r="AW44" s="239"/>
      <c r="AX44" s="239"/>
      <c r="AY44" s="239"/>
    </row>
    <row r="45" spans="1:51" s="8" customFormat="1" ht="12.75" customHeight="1" x14ac:dyDescent="0.2">
      <c r="A45" s="20"/>
      <c r="B45" s="161"/>
      <c r="C45" s="21"/>
      <c r="D45" s="22"/>
      <c r="E45" s="270" t="s">
        <v>397</v>
      </c>
      <c r="F45" s="271">
        <f>IF(SUMIF(E105:E111,"Management/ Leadership",F105:F111)+SUMIF(E48:E102,"Management/ Leadership",F48:F102)&gt;5,5,SUMIF(E105:E111,"Management/ Leadership",F105:F111)+(SUMIF(E48:E102,"Management/ Leadership",F48:F102)))</f>
        <v>0</v>
      </c>
      <c r="G45" s="220" t="str">
        <f>IF(F45&gt;=5,"Management Points - Maximum Reached","")</f>
        <v/>
      </c>
      <c r="H45" s="366"/>
      <c r="I45" s="366"/>
      <c r="J45" s="366"/>
      <c r="K45" s="366"/>
      <c r="L45" s="366"/>
      <c r="M45" s="366"/>
      <c r="N45" s="383"/>
      <c r="O45" s="383"/>
      <c r="P45" s="383"/>
      <c r="Q45" s="383"/>
      <c r="R45" s="383"/>
      <c r="S45" s="383"/>
      <c r="T45" s="383"/>
      <c r="U45" s="383"/>
      <c r="V45" s="383"/>
      <c r="W45" s="383"/>
      <c r="X45" s="383"/>
      <c r="Y45" s="383"/>
      <c r="Z45" s="383"/>
      <c r="AA45" s="383"/>
      <c r="AB45" s="383"/>
      <c r="AC45" s="383"/>
      <c r="AD45" s="383"/>
      <c r="AE45" s="383"/>
      <c r="AF45" s="383"/>
      <c r="AG45" s="383"/>
      <c r="AH45" s="383"/>
      <c r="AI45" s="239"/>
      <c r="AJ45" s="239"/>
      <c r="AK45" s="239"/>
      <c r="AL45" s="239"/>
      <c r="AM45" s="239"/>
      <c r="AN45" s="239"/>
      <c r="AO45" s="239"/>
      <c r="AP45" s="239"/>
      <c r="AQ45" s="239"/>
      <c r="AR45" s="239"/>
      <c r="AS45" s="239"/>
      <c r="AT45" s="239"/>
      <c r="AU45" s="239"/>
      <c r="AV45" s="239"/>
      <c r="AW45" s="239"/>
      <c r="AX45" s="239"/>
      <c r="AY45" s="239"/>
    </row>
    <row r="46" spans="1:51" s="13" customFormat="1" ht="34.5" customHeight="1" x14ac:dyDescent="0.2">
      <c r="A46" s="69" t="s">
        <v>310</v>
      </c>
      <c r="B46" s="164" t="s">
        <v>313</v>
      </c>
      <c r="C46" s="112" t="s">
        <v>57</v>
      </c>
      <c r="D46" s="66" t="s">
        <v>284</v>
      </c>
      <c r="E46" s="100" t="s">
        <v>54</v>
      </c>
      <c r="F46" s="63" t="s">
        <v>4</v>
      </c>
      <c r="G46" s="224" t="str">
        <f>"Not sure of the CM Area for your subject matter?"</f>
        <v>Not sure of the CM Area for your subject matter?</v>
      </c>
      <c r="H46" s="366"/>
      <c r="I46" s="366"/>
      <c r="J46" s="366"/>
      <c r="K46" s="366"/>
      <c r="L46" s="366"/>
      <c r="M46" s="366"/>
      <c r="N46" s="367"/>
      <c r="O46" s="367"/>
      <c r="P46" s="367"/>
      <c r="Q46" s="367"/>
      <c r="R46" s="367"/>
      <c r="S46" s="367"/>
      <c r="T46" s="367"/>
      <c r="U46" s="367"/>
      <c r="V46" s="367"/>
      <c r="W46" s="367"/>
      <c r="X46" s="367"/>
      <c r="Y46" s="367"/>
      <c r="Z46" s="367"/>
      <c r="AA46" s="367"/>
      <c r="AB46" s="367"/>
      <c r="AC46" s="367"/>
      <c r="AD46" s="367"/>
      <c r="AE46" s="367"/>
      <c r="AF46" s="397"/>
      <c r="AG46" s="397"/>
      <c r="AH46" s="397"/>
      <c r="AI46" s="242"/>
      <c r="AJ46" s="242"/>
      <c r="AK46" s="242"/>
      <c r="AL46" s="242"/>
      <c r="AM46" s="242"/>
      <c r="AN46" s="242"/>
      <c r="AO46" s="242"/>
      <c r="AP46" s="242"/>
      <c r="AQ46" s="242"/>
      <c r="AR46" s="242"/>
      <c r="AS46" s="242"/>
      <c r="AT46" s="242"/>
      <c r="AU46" s="242"/>
      <c r="AV46" s="242"/>
      <c r="AW46" s="242"/>
      <c r="AX46" s="242"/>
      <c r="AY46" s="242"/>
    </row>
    <row r="47" spans="1:51" s="52" customFormat="1" ht="18" customHeight="1" x14ac:dyDescent="0.2">
      <c r="A47" s="340" t="s">
        <v>359</v>
      </c>
      <c r="B47" s="341"/>
      <c r="C47" s="341"/>
      <c r="D47" s="334"/>
      <c r="E47" s="334"/>
      <c r="F47" s="335"/>
      <c r="G47" s="225" t="str">
        <f>IF(G46="","","Click here to see some examples")</f>
        <v>Click here to see some examples</v>
      </c>
      <c r="H47" s="366"/>
      <c r="I47" s="366"/>
      <c r="J47" s="394" t="s">
        <v>304</v>
      </c>
      <c r="K47" s="364"/>
      <c r="L47" s="366"/>
      <c r="M47" s="389" t="s">
        <v>309</v>
      </c>
      <c r="N47" s="397"/>
      <c r="O47" s="397"/>
      <c r="P47" s="397"/>
      <c r="Q47" s="394" t="s">
        <v>398</v>
      </c>
      <c r="R47" s="397" t="s">
        <v>319</v>
      </c>
      <c r="S47" s="397" t="s">
        <v>320</v>
      </c>
      <c r="T47" s="397"/>
      <c r="U47" s="397"/>
      <c r="V47" s="397" t="s">
        <v>325</v>
      </c>
      <c r="W47" s="397"/>
      <c r="X47" s="397"/>
      <c r="Y47" s="397"/>
      <c r="Z47" s="397"/>
      <c r="AA47" s="397"/>
      <c r="AB47" s="397"/>
      <c r="AC47" s="397"/>
      <c r="AD47" s="397"/>
      <c r="AE47" s="397"/>
      <c r="AF47" s="367"/>
      <c r="AG47" s="367"/>
      <c r="AH47" s="367"/>
      <c r="AI47" s="243"/>
      <c r="AJ47" s="243"/>
      <c r="AK47" s="243"/>
      <c r="AL47" s="243"/>
      <c r="AM47" s="243"/>
      <c r="AN47" s="243"/>
      <c r="AO47" s="243"/>
      <c r="AP47" s="243"/>
      <c r="AQ47" s="243"/>
      <c r="AR47" s="243"/>
      <c r="AS47" s="243"/>
      <c r="AT47" s="243"/>
      <c r="AU47" s="243"/>
      <c r="AV47" s="243"/>
      <c r="AW47" s="243"/>
      <c r="AX47" s="243"/>
      <c r="AY47" s="243"/>
    </row>
    <row r="48" spans="1:51" s="7" customFormat="1" ht="45" customHeight="1" x14ac:dyDescent="0.2">
      <c r="A48" s="295"/>
      <c r="B48" s="298"/>
      <c r="C48" s="119"/>
      <c r="D48" s="306"/>
      <c r="E48" s="300"/>
      <c r="F48" s="57" t="str">
        <f t="shared" ref="F48:F79" si="16">IF(E48="","",IF(OR(I48=TRUE,J48=TRUE,V48=TRUE),"0",ROUND(D48*0.1667,2)))</f>
        <v/>
      </c>
      <c r="G48" s="216" t="str">
        <f t="shared" ref="G48:G79" si="17">IF(B48="","",IF(J48=TRUE,"Dates entered are not consistent with your CM cycle start and stop dates. ","")&amp;IF(I48=TRUE,"A minimum of 1 hour is required for this CM Area. ","")&amp;IF(N48=TRUE,"The contact hours may be right but they seem inconsistent with the Start and Completion Dates. ","")&amp;IF(V48=TRUE,"First Aid and CPR classes are not eligible for CM Credit. ","")&amp;IF(T48=TRUE,"36 hrs or more means that you attended every technical session, i.e. no breaks, no vendor time, no lunches, no networking, no social,etc. ",""))&amp;"  "&amp;IF(Q48=TRUE,"You are missing the dates for your CM points. ","")</f>
        <v xml:space="preserve">  </v>
      </c>
      <c r="H48" s="366" t="b">
        <f t="shared" ref="H48:H79" si="18">OR(E48="Product Stewardship",E48="Ethics",E48="Management/Leadership")</f>
        <v>0</v>
      </c>
      <c r="I48" s="366" t="b">
        <f t="shared" ref="I48:I79" si="19">AND(H48=TRUE,D48&gt;0,D48&lt;0.25)</f>
        <v>0</v>
      </c>
      <c r="J48" s="366" t="b">
        <f t="shared" ref="J48:J79" si="20">OR(A48&gt;CMEND,B48&lt;CMSTART,B48&gt;CMEND,B48&lt;A48)</f>
        <v>1</v>
      </c>
      <c r="K48" s="366"/>
      <c r="L48" s="366"/>
      <c r="M48" s="386" t="str">
        <f t="shared" ref="M48:M79" si="21">IF(OR(A48="",B48="",D48=""),"",(B48-A48+1)*8)</f>
        <v/>
      </c>
      <c r="N48" s="366" t="b">
        <f t="shared" ref="N48:N79" si="22">IF(M48="",FALSE,AND(D48/M48&gt;1.2))</f>
        <v>0</v>
      </c>
      <c r="O48" s="367"/>
      <c r="P48" s="367"/>
      <c r="Q48" s="389" t="b">
        <f t="shared" ref="Q48:Q79" si="23">IF(AND(OR(A48="",B48=""),NOT(F48="")),TRUE,FALSE)</f>
        <v>0</v>
      </c>
      <c r="R48" s="366" t="b">
        <f t="shared" ref="R48:R79" si="24">OR(ISNUMBER(SEARCH("AIHce",C48)),AND(ISNUMBER(SEARCH("AIHA",C48)),ISNUMBER(SEARCH("conference",C48))))</f>
        <v>0</v>
      </c>
      <c r="S48" s="366" t="b">
        <f t="shared" ref="S48:S79" si="25">AND(D48&gt;=36)</f>
        <v>0</v>
      </c>
      <c r="T48" s="366" t="b">
        <f>AND(R48=TRUE,S48=TRUE)</f>
        <v>0</v>
      </c>
      <c r="U48" s="367"/>
      <c r="V48" s="366" t="b">
        <f t="shared" ref="V48:V79" si="26">OR(ISNUMBER(SEARCH("First Aid",C48)),ISNUMBER(SEARCH("CPR",C48)))</f>
        <v>0</v>
      </c>
      <c r="W48" s="367"/>
      <c r="X48" s="367"/>
      <c r="Y48" s="367"/>
      <c r="Z48" s="367"/>
      <c r="AA48" s="367"/>
      <c r="AB48" s="367"/>
      <c r="AC48" s="367"/>
      <c r="AD48" s="367"/>
      <c r="AE48" s="367"/>
      <c r="AF48" s="367"/>
      <c r="AG48" s="367"/>
      <c r="AH48" s="367"/>
      <c r="AI48" s="238"/>
      <c r="AJ48" s="238"/>
      <c r="AK48" s="238"/>
      <c r="AL48" s="238"/>
      <c r="AM48" s="238"/>
      <c r="AN48" s="238"/>
      <c r="AO48" s="238"/>
      <c r="AP48" s="238"/>
      <c r="AQ48" s="238"/>
      <c r="AR48" s="238"/>
      <c r="AS48" s="238"/>
      <c r="AT48" s="238"/>
      <c r="AU48" s="238"/>
      <c r="AV48" s="238"/>
      <c r="AW48" s="238"/>
      <c r="AX48" s="238"/>
      <c r="AY48" s="238"/>
    </row>
    <row r="49" spans="1:51" s="7" customFormat="1" ht="45" customHeight="1" x14ac:dyDescent="0.2">
      <c r="A49" s="295"/>
      <c r="B49" s="298"/>
      <c r="C49" s="307" t="s">
        <v>394</v>
      </c>
      <c r="D49" s="306"/>
      <c r="E49" s="300"/>
      <c r="F49" s="57" t="str">
        <f t="shared" si="16"/>
        <v/>
      </c>
      <c r="G49" s="216" t="str">
        <f t="shared" si="17"/>
        <v xml:space="preserve">  </v>
      </c>
      <c r="H49" s="366" t="b">
        <f t="shared" si="18"/>
        <v>0</v>
      </c>
      <c r="I49" s="366" t="b">
        <f t="shared" si="19"/>
        <v>0</v>
      </c>
      <c r="J49" s="366" t="b">
        <f t="shared" si="20"/>
        <v>1</v>
      </c>
      <c r="K49" s="366"/>
      <c r="L49" s="366"/>
      <c r="M49" s="386" t="str">
        <f t="shared" si="21"/>
        <v/>
      </c>
      <c r="N49" s="366" t="b">
        <f t="shared" si="22"/>
        <v>0</v>
      </c>
      <c r="O49" s="367"/>
      <c r="P49" s="367"/>
      <c r="Q49" s="389" t="b">
        <f t="shared" si="23"/>
        <v>0</v>
      </c>
      <c r="R49" s="366" t="b">
        <f t="shared" si="24"/>
        <v>0</v>
      </c>
      <c r="S49" s="366" t="b">
        <f t="shared" si="25"/>
        <v>0</v>
      </c>
      <c r="T49" s="366" t="b">
        <f t="shared" ref="T49:T102" si="27">AND(R49=TRUE,S49=TRUE)</f>
        <v>0</v>
      </c>
      <c r="U49" s="367"/>
      <c r="V49" s="366" t="b">
        <f t="shared" si="26"/>
        <v>0</v>
      </c>
      <c r="W49" s="367"/>
      <c r="X49" s="367"/>
      <c r="Y49" s="367"/>
      <c r="Z49" s="367"/>
      <c r="AA49" s="367"/>
      <c r="AB49" s="367"/>
      <c r="AC49" s="367"/>
      <c r="AD49" s="367"/>
      <c r="AE49" s="367"/>
      <c r="AF49" s="367"/>
      <c r="AG49" s="367"/>
      <c r="AH49" s="367"/>
      <c r="AI49" s="238"/>
      <c r="AJ49" s="238"/>
      <c r="AK49" s="238"/>
      <c r="AL49" s="238"/>
      <c r="AM49" s="238"/>
      <c r="AN49" s="238"/>
      <c r="AO49" s="238"/>
      <c r="AP49" s="238"/>
      <c r="AQ49" s="238"/>
      <c r="AR49" s="238"/>
      <c r="AS49" s="238"/>
      <c r="AT49" s="238"/>
      <c r="AU49" s="238"/>
      <c r="AV49" s="238"/>
      <c r="AW49" s="238"/>
      <c r="AX49" s="238"/>
      <c r="AY49" s="238"/>
    </row>
    <row r="50" spans="1:51" s="7" customFormat="1" ht="45" customHeight="1" x14ac:dyDescent="0.2">
      <c r="A50" s="295"/>
      <c r="B50" s="298"/>
      <c r="C50" s="307" t="s">
        <v>354</v>
      </c>
      <c r="D50" s="306"/>
      <c r="E50" s="300"/>
      <c r="F50" s="57" t="str">
        <f t="shared" si="16"/>
        <v/>
      </c>
      <c r="G50" s="216" t="str">
        <f t="shared" si="17"/>
        <v xml:space="preserve">  </v>
      </c>
      <c r="H50" s="366" t="b">
        <f t="shared" si="18"/>
        <v>0</v>
      </c>
      <c r="I50" s="366" t="b">
        <f t="shared" si="19"/>
        <v>0</v>
      </c>
      <c r="J50" s="366" t="b">
        <f t="shared" si="20"/>
        <v>1</v>
      </c>
      <c r="K50" s="366"/>
      <c r="L50" s="366"/>
      <c r="M50" s="386" t="str">
        <f t="shared" si="21"/>
        <v/>
      </c>
      <c r="N50" s="366" t="b">
        <f t="shared" si="22"/>
        <v>0</v>
      </c>
      <c r="O50" s="367"/>
      <c r="P50" s="367"/>
      <c r="Q50" s="389" t="b">
        <f t="shared" si="23"/>
        <v>0</v>
      </c>
      <c r="R50" s="366" t="b">
        <f t="shared" si="24"/>
        <v>0</v>
      </c>
      <c r="S50" s="366" t="b">
        <f t="shared" si="25"/>
        <v>0</v>
      </c>
      <c r="T50" s="366" t="b">
        <f t="shared" si="27"/>
        <v>0</v>
      </c>
      <c r="U50" s="367"/>
      <c r="V50" s="366" t="b">
        <f t="shared" si="26"/>
        <v>0</v>
      </c>
      <c r="W50" s="367"/>
      <c r="X50" s="367"/>
      <c r="Y50" s="367"/>
      <c r="Z50" s="367"/>
      <c r="AA50" s="367"/>
      <c r="AB50" s="367"/>
      <c r="AC50" s="367"/>
      <c r="AD50" s="367"/>
      <c r="AE50" s="367"/>
      <c r="AF50" s="367"/>
      <c r="AG50" s="367"/>
      <c r="AH50" s="367"/>
      <c r="AI50" s="238"/>
      <c r="AJ50" s="238"/>
      <c r="AK50" s="238"/>
      <c r="AL50" s="238"/>
      <c r="AM50" s="238"/>
      <c r="AN50" s="238"/>
      <c r="AO50" s="238"/>
      <c r="AP50" s="238"/>
      <c r="AQ50" s="238"/>
      <c r="AR50" s="238"/>
      <c r="AS50" s="238"/>
      <c r="AT50" s="238"/>
      <c r="AU50" s="238"/>
      <c r="AV50" s="238"/>
      <c r="AW50" s="238"/>
      <c r="AX50" s="238"/>
      <c r="AY50" s="238"/>
    </row>
    <row r="51" spans="1:51" s="7" customFormat="1" ht="45" customHeight="1" x14ac:dyDescent="0.2">
      <c r="A51" s="295"/>
      <c r="B51" s="298"/>
      <c r="C51" s="119" t="s">
        <v>395</v>
      </c>
      <c r="D51" s="306"/>
      <c r="E51" s="300"/>
      <c r="F51" s="57" t="str">
        <f t="shared" si="16"/>
        <v/>
      </c>
      <c r="G51" s="216" t="str">
        <f t="shared" si="17"/>
        <v xml:space="preserve">  </v>
      </c>
      <c r="H51" s="366" t="b">
        <f t="shared" si="18"/>
        <v>0</v>
      </c>
      <c r="I51" s="366" t="b">
        <f t="shared" si="19"/>
        <v>0</v>
      </c>
      <c r="J51" s="366" t="b">
        <f t="shared" si="20"/>
        <v>1</v>
      </c>
      <c r="K51" s="366"/>
      <c r="L51" s="366"/>
      <c r="M51" s="386" t="str">
        <f t="shared" si="21"/>
        <v/>
      </c>
      <c r="N51" s="366" t="b">
        <f t="shared" si="22"/>
        <v>0</v>
      </c>
      <c r="O51" s="367"/>
      <c r="P51" s="367"/>
      <c r="Q51" s="389" t="b">
        <f t="shared" si="23"/>
        <v>0</v>
      </c>
      <c r="R51" s="366" t="b">
        <f t="shared" si="24"/>
        <v>0</v>
      </c>
      <c r="S51" s="366" t="b">
        <f t="shared" si="25"/>
        <v>0</v>
      </c>
      <c r="T51" s="366" t="b">
        <f t="shared" si="27"/>
        <v>0</v>
      </c>
      <c r="U51" s="367"/>
      <c r="V51" s="366" t="b">
        <f t="shared" si="26"/>
        <v>0</v>
      </c>
      <c r="W51" s="367"/>
      <c r="X51" s="367"/>
      <c r="Y51" s="367"/>
      <c r="Z51" s="367"/>
      <c r="AA51" s="367"/>
      <c r="AB51" s="367"/>
      <c r="AC51" s="367"/>
      <c r="AD51" s="367"/>
      <c r="AE51" s="367"/>
      <c r="AF51" s="367"/>
      <c r="AG51" s="367"/>
      <c r="AH51" s="367"/>
      <c r="AI51" s="238"/>
      <c r="AJ51" s="238"/>
      <c r="AK51" s="238"/>
      <c r="AL51" s="238"/>
      <c r="AM51" s="238"/>
      <c r="AN51" s="238"/>
      <c r="AO51" s="238"/>
      <c r="AP51" s="238"/>
      <c r="AQ51" s="238"/>
      <c r="AR51" s="238"/>
      <c r="AS51" s="238"/>
      <c r="AT51" s="238"/>
      <c r="AU51" s="238"/>
      <c r="AV51" s="238"/>
      <c r="AW51" s="238"/>
      <c r="AX51" s="238"/>
      <c r="AY51" s="238"/>
    </row>
    <row r="52" spans="1:51" s="7" customFormat="1" ht="45" customHeight="1" x14ac:dyDescent="0.2">
      <c r="A52" s="295"/>
      <c r="B52" s="298"/>
      <c r="C52" s="119" t="s">
        <v>396</v>
      </c>
      <c r="D52" s="306"/>
      <c r="E52" s="300"/>
      <c r="F52" s="57" t="str">
        <f t="shared" si="16"/>
        <v/>
      </c>
      <c r="G52" s="216" t="str">
        <f t="shared" si="17"/>
        <v xml:space="preserve">  </v>
      </c>
      <c r="H52" s="366" t="b">
        <f t="shared" si="18"/>
        <v>0</v>
      </c>
      <c r="I52" s="366" t="b">
        <f t="shared" si="19"/>
        <v>0</v>
      </c>
      <c r="J52" s="366" t="b">
        <f t="shared" si="20"/>
        <v>1</v>
      </c>
      <c r="K52" s="366"/>
      <c r="L52" s="366"/>
      <c r="M52" s="386" t="str">
        <f t="shared" si="21"/>
        <v/>
      </c>
      <c r="N52" s="366" t="b">
        <f t="shared" si="22"/>
        <v>0</v>
      </c>
      <c r="O52" s="367"/>
      <c r="P52" s="367"/>
      <c r="Q52" s="389" t="b">
        <f t="shared" si="23"/>
        <v>0</v>
      </c>
      <c r="R52" s="366" t="b">
        <f t="shared" si="24"/>
        <v>0</v>
      </c>
      <c r="S52" s="366" t="b">
        <f t="shared" si="25"/>
        <v>0</v>
      </c>
      <c r="T52" s="366" t="b">
        <f t="shared" si="27"/>
        <v>0</v>
      </c>
      <c r="U52" s="367"/>
      <c r="V52" s="366" t="b">
        <f t="shared" si="26"/>
        <v>0</v>
      </c>
      <c r="W52" s="367"/>
      <c r="X52" s="367"/>
      <c r="Y52" s="367"/>
      <c r="Z52" s="367"/>
      <c r="AA52" s="367"/>
      <c r="AB52" s="367"/>
      <c r="AC52" s="367"/>
      <c r="AD52" s="367"/>
      <c r="AE52" s="367"/>
      <c r="AF52" s="367"/>
      <c r="AG52" s="367"/>
      <c r="AH52" s="367"/>
      <c r="AI52" s="238"/>
      <c r="AJ52" s="238"/>
      <c r="AK52" s="238"/>
      <c r="AL52" s="238"/>
      <c r="AM52" s="238"/>
      <c r="AN52" s="238"/>
      <c r="AO52" s="238"/>
      <c r="AP52" s="238"/>
      <c r="AQ52" s="238"/>
      <c r="AR52" s="238"/>
      <c r="AS52" s="238"/>
      <c r="AT52" s="238"/>
      <c r="AU52" s="238"/>
      <c r="AV52" s="238"/>
      <c r="AW52" s="238"/>
      <c r="AX52" s="238"/>
      <c r="AY52" s="238"/>
    </row>
    <row r="53" spans="1:51" s="7" customFormat="1" ht="45" customHeight="1" x14ac:dyDescent="0.2">
      <c r="A53" s="295"/>
      <c r="B53" s="298"/>
      <c r="C53" s="119" t="s">
        <v>371</v>
      </c>
      <c r="D53" s="306"/>
      <c r="E53" s="300"/>
      <c r="F53" s="57" t="str">
        <f t="shared" si="16"/>
        <v/>
      </c>
      <c r="G53" s="216" t="str">
        <f t="shared" si="17"/>
        <v xml:space="preserve">  </v>
      </c>
      <c r="H53" s="366" t="b">
        <f t="shared" si="18"/>
        <v>0</v>
      </c>
      <c r="I53" s="366" t="b">
        <f t="shared" si="19"/>
        <v>0</v>
      </c>
      <c r="J53" s="366" t="b">
        <f t="shared" si="20"/>
        <v>1</v>
      </c>
      <c r="K53" s="366"/>
      <c r="L53" s="366"/>
      <c r="M53" s="386" t="str">
        <f t="shared" si="21"/>
        <v/>
      </c>
      <c r="N53" s="366" t="b">
        <f t="shared" si="22"/>
        <v>0</v>
      </c>
      <c r="O53" s="367"/>
      <c r="P53" s="367"/>
      <c r="Q53" s="389" t="b">
        <f t="shared" si="23"/>
        <v>0</v>
      </c>
      <c r="R53" s="366" t="b">
        <f t="shared" si="24"/>
        <v>0</v>
      </c>
      <c r="S53" s="366" t="b">
        <f t="shared" si="25"/>
        <v>0</v>
      </c>
      <c r="T53" s="366" t="b">
        <f t="shared" si="27"/>
        <v>0</v>
      </c>
      <c r="U53" s="367"/>
      <c r="V53" s="366" t="b">
        <f t="shared" si="26"/>
        <v>0</v>
      </c>
      <c r="W53" s="367"/>
      <c r="X53" s="367"/>
      <c r="Y53" s="367"/>
      <c r="Z53" s="367"/>
      <c r="AA53" s="367"/>
      <c r="AB53" s="367"/>
      <c r="AC53" s="367"/>
      <c r="AD53" s="367"/>
      <c r="AE53" s="367"/>
      <c r="AF53" s="367"/>
      <c r="AG53" s="367"/>
      <c r="AH53" s="367"/>
      <c r="AI53" s="238"/>
      <c r="AJ53" s="238"/>
      <c r="AK53" s="238"/>
      <c r="AL53" s="238"/>
      <c r="AM53" s="238"/>
      <c r="AN53" s="238"/>
      <c r="AO53" s="238"/>
      <c r="AP53" s="238"/>
      <c r="AQ53" s="238"/>
      <c r="AR53" s="238"/>
      <c r="AS53" s="238"/>
      <c r="AT53" s="238"/>
      <c r="AU53" s="238"/>
      <c r="AV53" s="238"/>
      <c r="AW53" s="238"/>
      <c r="AX53" s="238"/>
      <c r="AY53" s="238"/>
    </row>
    <row r="54" spans="1:51" s="7" customFormat="1" ht="45" customHeight="1" x14ac:dyDescent="0.2">
      <c r="A54" s="295"/>
      <c r="B54" s="295"/>
      <c r="C54" s="307"/>
      <c r="D54" s="306"/>
      <c r="E54" s="300"/>
      <c r="F54" s="57" t="str">
        <f t="shared" si="16"/>
        <v/>
      </c>
      <c r="G54" s="216" t="str">
        <f t="shared" si="17"/>
        <v xml:space="preserve">  </v>
      </c>
      <c r="H54" s="366" t="b">
        <f t="shared" si="18"/>
        <v>0</v>
      </c>
      <c r="I54" s="366" t="b">
        <f t="shared" si="19"/>
        <v>0</v>
      </c>
      <c r="J54" s="366" t="b">
        <f t="shared" si="20"/>
        <v>1</v>
      </c>
      <c r="K54" s="366"/>
      <c r="L54" s="366"/>
      <c r="M54" s="386" t="str">
        <f t="shared" si="21"/>
        <v/>
      </c>
      <c r="N54" s="366" t="b">
        <f t="shared" si="22"/>
        <v>0</v>
      </c>
      <c r="O54" s="367"/>
      <c r="P54" s="367"/>
      <c r="Q54" s="389" t="b">
        <f t="shared" si="23"/>
        <v>0</v>
      </c>
      <c r="R54" s="366" t="b">
        <f t="shared" si="24"/>
        <v>0</v>
      </c>
      <c r="S54" s="366" t="b">
        <f t="shared" si="25"/>
        <v>0</v>
      </c>
      <c r="T54" s="366" t="b">
        <f t="shared" si="27"/>
        <v>0</v>
      </c>
      <c r="U54" s="367"/>
      <c r="V54" s="366" t="b">
        <f t="shared" si="26"/>
        <v>0</v>
      </c>
      <c r="W54" s="367"/>
      <c r="X54" s="367"/>
      <c r="Y54" s="367"/>
      <c r="Z54" s="367"/>
      <c r="AA54" s="367"/>
      <c r="AB54" s="367"/>
      <c r="AC54" s="367"/>
      <c r="AD54" s="367"/>
      <c r="AE54" s="367"/>
      <c r="AF54" s="367"/>
      <c r="AG54" s="367"/>
      <c r="AH54" s="367"/>
      <c r="AI54" s="238"/>
      <c r="AJ54" s="238"/>
      <c r="AK54" s="238"/>
      <c r="AL54" s="238"/>
      <c r="AM54" s="238"/>
      <c r="AN54" s="238"/>
      <c r="AO54" s="238"/>
      <c r="AP54" s="238"/>
      <c r="AQ54" s="238"/>
      <c r="AR54" s="238"/>
      <c r="AS54" s="238"/>
      <c r="AT54" s="238"/>
      <c r="AU54" s="238"/>
      <c r="AV54" s="238"/>
      <c r="AW54" s="238"/>
      <c r="AX54" s="238"/>
      <c r="AY54" s="238"/>
    </row>
    <row r="55" spans="1:51" s="7" customFormat="1" ht="45" customHeight="1" x14ac:dyDescent="0.2">
      <c r="A55" s="295"/>
      <c r="B55" s="298"/>
      <c r="C55" s="307"/>
      <c r="D55" s="306"/>
      <c r="E55" s="300"/>
      <c r="F55" s="57" t="str">
        <f t="shared" si="16"/>
        <v/>
      </c>
      <c r="G55" s="216" t="str">
        <f t="shared" si="17"/>
        <v xml:space="preserve">  </v>
      </c>
      <c r="H55" s="366" t="b">
        <f t="shared" si="18"/>
        <v>0</v>
      </c>
      <c r="I55" s="366" t="b">
        <f t="shared" si="19"/>
        <v>0</v>
      </c>
      <c r="J55" s="366" t="b">
        <f t="shared" si="20"/>
        <v>1</v>
      </c>
      <c r="K55" s="366"/>
      <c r="L55" s="366"/>
      <c r="M55" s="386" t="str">
        <f t="shared" si="21"/>
        <v/>
      </c>
      <c r="N55" s="366" t="b">
        <f t="shared" si="22"/>
        <v>0</v>
      </c>
      <c r="O55" s="367"/>
      <c r="P55" s="367"/>
      <c r="Q55" s="389" t="b">
        <f t="shared" si="23"/>
        <v>0</v>
      </c>
      <c r="R55" s="366" t="b">
        <f t="shared" si="24"/>
        <v>0</v>
      </c>
      <c r="S55" s="366" t="b">
        <f t="shared" si="25"/>
        <v>0</v>
      </c>
      <c r="T55" s="366" t="b">
        <f t="shared" ref="T55:T101" si="28">AND(R55=TRUE,S55=TRUE)</f>
        <v>0</v>
      </c>
      <c r="U55" s="367"/>
      <c r="V55" s="366" t="b">
        <f t="shared" si="26"/>
        <v>0</v>
      </c>
      <c r="W55" s="367"/>
      <c r="X55" s="367"/>
      <c r="Y55" s="367"/>
      <c r="Z55" s="367"/>
      <c r="AA55" s="367"/>
      <c r="AB55" s="367"/>
      <c r="AC55" s="367"/>
      <c r="AD55" s="367"/>
      <c r="AE55" s="367"/>
      <c r="AF55" s="367"/>
      <c r="AG55" s="367"/>
      <c r="AH55" s="367"/>
      <c r="AI55" s="238"/>
      <c r="AJ55" s="238"/>
      <c r="AK55" s="238"/>
      <c r="AL55" s="238"/>
      <c r="AM55" s="238"/>
      <c r="AN55" s="238"/>
      <c r="AO55" s="238"/>
      <c r="AP55" s="238"/>
      <c r="AQ55" s="238"/>
      <c r="AR55" s="238"/>
      <c r="AS55" s="238"/>
      <c r="AT55" s="238"/>
      <c r="AU55" s="238"/>
      <c r="AV55" s="238"/>
      <c r="AW55" s="238"/>
      <c r="AX55" s="238"/>
      <c r="AY55" s="238"/>
    </row>
    <row r="56" spans="1:51" s="7" customFormat="1" ht="45" customHeight="1" x14ac:dyDescent="0.2">
      <c r="A56" s="295"/>
      <c r="B56" s="298"/>
      <c r="C56" s="307"/>
      <c r="D56" s="306"/>
      <c r="E56" s="300"/>
      <c r="F56" s="57" t="str">
        <f t="shared" si="16"/>
        <v/>
      </c>
      <c r="G56" s="216" t="str">
        <f t="shared" si="17"/>
        <v xml:space="preserve">  </v>
      </c>
      <c r="H56" s="366" t="b">
        <f t="shared" si="18"/>
        <v>0</v>
      </c>
      <c r="I56" s="366" t="b">
        <f t="shared" si="19"/>
        <v>0</v>
      </c>
      <c r="J56" s="366" t="b">
        <f t="shared" si="20"/>
        <v>1</v>
      </c>
      <c r="K56" s="366"/>
      <c r="L56" s="366"/>
      <c r="M56" s="386" t="str">
        <f t="shared" si="21"/>
        <v/>
      </c>
      <c r="N56" s="366" t="b">
        <f t="shared" si="22"/>
        <v>0</v>
      </c>
      <c r="O56" s="367"/>
      <c r="P56" s="367"/>
      <c r="Q56" s="389" t="b">
        <f t="shared" si="23"/>
        <v>0</v>
      </c>
      <c r="R56" s="366" t="b">
        <f t="shared" si="24"/>
        <v>0</v>
      </c>
      <c r="S56" s="366" t="b">
        <f t="shared" si="25"/>
        <v>0</v>
      </c>
      <c r="T56" s="366" t="b">
        <f t="shared" si="28"/>
        <v>0</v>
      </c>
      <c r="U56" s="367"/>
      <c r="V56" s="366" t="b">
        <f t="shared" si="26"/>
        <v>0</v>
      </c>
      <c r="W56" s="367"/>
      <c r="X56" s="367"/>
      <c r="Y56" s="367"/>
      <c r="Z56" s="367"/>
      <c r="AA56" s="367"/>
      <c r="AB56" s="367"/>
      <c r="AC56" s="367"/>
      <c r="AD56" s="367"/>
      <c r="AE56" s="367"/>
      <c r="AF56" s="367"/>
      <c r="AG56" s="367"/>
      <c r="AH56" s="367"/>
      <c r="AI56" s="238"/>
      <c r="AJ56" s="238"/>
      <c r="AK56" s="238"/>
      <c r="AL56" s="238"/>
      <c r="AM56" s="238"/>
      <c r="AN56" s="238"/>
      <c r="AO56" s="238"/>
      <c r="AP56" s="238"/>
      <c r="AQ56" s="238"/>
      <c r="AR56" s="238"/>
      <c r="AS56" s="238"/>
      <c r="AT56" s="238"/>
      <c r="AU56" s="238"/>
      <c r="AV56" s="238"/>
      <c r="AW56" s="238"/>
      <c r="AX56" s="238"/>
      <c r="AY56" s="238"/>
    </row>
    <row r="57" spans="1:51" s="7" customFormat="1" ht="45" customHeight="1" x14ac:dyDescent="0.2">
      <c r="A57" s="295"/>
      <c r="B57" s="298"/>
      <c r="C57" s="307"/>
      <c r="D57" s="306"/>
      <c r="E57" s="300"/>
      <c r="F57" s="57" t="str">
        <f t="shared" si="16"/>
        <v/>
      </c>
      <c r="G57" s="216" t="str">
        <f t="shared" si="17"/>
        <v xml:space="preserve">  </v>
      </c>
      <c r="H57" s="366" t="b">
        <f t="shared" si="18"/>
        <v>0</v>
      </c>
      <c r="I57" s="366" t="b">
        <f t="shared" si="19"/>
        <v>0</v>
      </c>
      <c r="J57" s="366" t="b">
        <f t="shared" si="20"/>
        <v>1</v>
      </c>
      <c r="K57" s="366"/>
      <c r="L57" s="366"/>
      <c r="M57" s="386" t="str">
        <f t="shared" si="21"/>
        <v/>
      </c>
      <c r="N57" s="366" t="b">
        <f t="shared" si="22"/>
        <v>0</v>
      </c>
      <c r="O57" s="367"/>
      <c r="P57" s="367"/>
      <c r="Q57" s="389" t="b">
        <f t="shared" si="23"/>
        <v>0</v>
      </c>
      <c r="R57" s="366" t="b">
        <f t="shared" si="24"/>
        <v>0</v>
      </c>
      <c r="S57" s="366" t="b">
        <f t="shared" si="25"/>
        <v>0</v>
      </c>
      <c r="T57" s="366" t="b">
        <f t="shared" si="28"/>
        <v>0</v>
      </c>
      <c r="U57" s="367"/>
      <c r="V57" s="366" t="b">
        <f t="shared" si="26"/>
        <v>0</v>
      </c>
      <c r="W57" s="367"/>
      <c r="X57" s="367"/>
      <c r="Y57" s="367"/>
      <c r="Z57" s="367"/>
      <c r="AA57" s="367"/>
      <c r="AB57" s="367"/>
      <c r="AC57" s="367"/>
      <c r="AD57" s="367"/>
      <c r="AE57" s="367"/>
      <c r="AF57" s="367"/>
      <c r="AG57" s="367"/>
      <c r="AH57" s="367"/>
      <c r="AI57" s="238"/>
      <c r="AJ57" s="238"/>
      <c r="AK57" s="238"/>
      <c r="AL57" s="238"/>
      <c r="AM57" s="238"/>
      <c r="AN57" s="238"/>
      <c r="AO57" s="238"/>
      <c r="AP57" s="238"/>
      <c r="AQ57" s="238"/>
      <c r="AR57" s="238"/>
      <c r="AS57" s="238"/>
      <c r="AT57" s="238"/>
      <c r="AU57" s="238"/>
      <c r="AV57" s="238"/>
      <c r="AW57" s="238"/>
      <c r="AX57" s="238"/>
      <c r="AY57" s="238"/>
    </row>
    <row r="58" spans="1:51" s="7" customFormat="1" ht="45" customHeight="1" x14ac:dyDescent="0.2">
      <c r="A58" s="295"/>
      <c r="B58" s="298"/>
      <c r="C58" s="307"/>
      <c r="D58" s="306"/>
      <c r="E58" s="300"/>
      <c r="F58" s="57" t="str">
        <f t="shared" si="16"/>
        <v/>
      </c>
      <c r="G58" s="216" t="str">
        <f t="shared" si="17"/>
        <v xml:space="preserve">  </v>
      </c>
      <c r="H58" s="366" t="b">
        <f t="shared" si="18"/>
        <v>0</v>
      </c>
      <c r="I58" s="366" t="b">
        <f t="shared" si="19"/>
        <v>0</v>
      </c>
      <c r="J58" s="366" t="b">
        <f t="shared" si="20"/>
        <v>1</v>
      </c>
      <c r="K58" s="366"/>
      <c r="L58" s="366"/>
      <c r="M58" s="386" t="str">
        <f t="shared" si="21"/>
        <v/>
      </c>
      <c r="N58" s="366" t="b">
        <f t="shared" si="22"/>
        <v>0</v>
      </c>
      <c r="O58" s="367"/>
      <c r="P58" s="367"/>
      <c r="Q58" s="389" t="b">
        <f t="shared" si="23"/>
        <v>0</v>
      </c>
      <c r="R58" s="366" t="b">
        <f t="shared" si="24"/>
        <v>0</v>
      </c>
      <c r="S58" s="366" t="b">
        <f t="shared" si="25"/>
        <v>0</v>
      </c>
      <c r="T58" s="366" t="b">
        <f t="shared" si="28"/>
        <v>0</v>
      </c>
      <c r="U58" s="367"/>
      <c r="V58" s="366" t="b">
        <f t="shared" si="26"/>
        <v>0</v>
      </c>
      <c r="W58" s="367"/>
      <c r="X58" s="367"/>
      <c r="Y58" s="367"/>
      <c r="Z58" s="367"/>
      <c r="AA58" s="367"/>
      <c r="AB58" s="367"/>
      <c r="AC58" s="367"/>
      <c r="AD58" s="367"/>
      <c r="AE58" s="367"/>
      <c r="AF58" s="367"/>
      <c r="AG58" s="367"/>
      <c r="AH58" s="367"/>
      <c r="AI58" s="238"/>
      <c r="AJ58" s="238"/>
      <c r="AK58" s="238"/>
      <c r="AL58" s="238"/>
      <c r="AM58" s="238"/>
      <c r="AN58" s="238"/>
      <c r="AO58" s="238"/>
      <c r="AP58" s="238"/>
      <c r="AQ58" s="238"/>
      <c r="AR58" s="238"/>
      <c r="AS58" s="238"/>
      <c r="AT58" s="238"/>
      <c r="AU58" s="238"/>
      <c r="AV58" s="238"/>
      <c r="AW58" s="238"/>
      <c r="AX58" s="238"/>
      <c r="AY58" s="238"/>
    </row>
    <row r="59" spans="1:51" s="7" customFormat="1" ht="45" customHeight="1" x14ac:dyDescent="0.2">
      <c r="A59" s="295"/>
      <c r="B59" s="298"/>
      <c r="C59" s="307"/>
      <c r="D59" s="306"/>
      <c r="E59" s="300"/>
      <c r="F59" s="57" t="str">
        <f t="shared" si="16"/>
        <v/>
      </c>
      <c r="G59" s="216" t="str">
        <f t="shared" si="17"/>
        <v xml:space="preserve">  </v>
      </c>
      <c r="H59" s="366" t="b">
        <f t="shared" si="18"/>
        <v>0</v>
      </c>
      <c r="I59" s="366" t="b">
        <f t="shared" si="19"/>
        <v>0</v>
      </c>
      <c r="J59" s="366" t="b">
        <f t="shared" si="20"/>
        <v>1</v>
      </c>
      <c r="K59" s="366"/>
      <c r="L59" s="366"/>
      <c r="M59" s="386" t="str">
        <f t="shared" si="21"/>
        <v/>
      </c>
      <c r="N59" s="366" t="b">
        <f t="shared" si="22"/>
        <v>0</v>
      </c>
      <c r="O59" s="367"/>
      <c r="P59" s="367"/>
      <c r="Q59" s="389" t="b">
        <f t="shared" si="23"/>
        <v>0</v>
      </c>
      <c r="R59" s="366" t="b">
        <f t="shared" si="24"/>
        <v>0</v>
      </c>
      <c r="S59" s="366" t="b">
        <f t="shared" si="25"/>
        <v>0</v>
      </c>
      <c r="T59" s="366" t="b">
        <f t="shared" si="28"/>
        <v>0</v>
      </c>
      <c r="U59" s="367"/>
      <c r="V59" s="366" t="b">
        <f t="shared" si="26"/>
        <v>0</v>
      </c>
      <c r="W59" s="367"/>
      <c r="X59" s="367"/>
      <c r="Y59" s="367"/>
      <c r="Z59" s="367"/>
      <c r="AA59" s="367"/>
      <c r="AB59" s="367"/>
      <c r="AC59" s="367"/>
      <c r="AD59" s="367"/>
      <c r="AE59" s="367"/>
      <c r="AF59" s="367"/>
      <c r="AG59" s="367"/>
      <c r="AH59" s="367"/>
      <c r="AI59" s="238"/>
      <c r="AJ59" s="238"/>
      <c r="AK59" s="238"/>
      <c r="AL59" s="238"/>
      <c r="AM59" s="238"/>
      <c r="AN59" s="238"/>
      <c r="AO59" s="238"/>
      <c r="AP59" s="238"/>
      <c r="AQ59" s="238"/>
      <c r="AR59" s="238"/>
      <c r="AS59" s="238"/>
      <c r="AT59" s="238"/>
      <c r="AU59" s="238"/>
      <c r="AV59" s="238"/>
      <c r="AW59" s="238"/>
      <c r="AX59" s="238"/>
      <c r="AY59" s="238"/>
    </row>
    <row r="60" spans="1:51" s="7" customFormat="1" ht="45" customHeight="1" x14ac:dyDescent="0.2">
      <c r="A60" s="295"/>
      <c r="B60" s="298"/>
      <c r="C60" s="307"/>
      <c r="D60" s="306"/>
      <c r="E60" s="300"/>
      <c r="F60" s="57" t="str">
        <f t="shared" si="16"/>
        <v/>
      </c>
      <c r="G60" s="216" t="str">
        <f t="shared" si="17"/>
        <v xml:space="preserve">  </v>
      </c>
      <c r="H60" s="366" t="b">
        <f t="shared" si="18"/>
        <v>0</v>
      </c>
      <c r="I60" s="366" t="b">
        <f t="shared" si="19"/>
        <v>0</v>
      </c>
      <c r="J60" s="366" t="b">
        <f t="shared" si="20"/>
        <v>1</v>
      </c>
      <c r="K60" s="366"/>
      <c r="L60" s="366"/>
      <c r="M60" s="386" t="str">
        <f t="shared" si="21"/>
        <v/>
      </c>
      <c r="N60" s="366" t="b">
        <f t="shared" si="22"/>
        <v>0</v>
      </c>
      <c r="O60" s="367"/>
      <c r="P60" s="367"/>
      <c r="Q60" s="389" t="b">
        <f t="shared" si="23"/>
        <v>0</v>
      </c>
      <c r="R60" s="366" t="b">
        <f t="shared" si="24"/>
        <v>0</v>
      </c>
      <c r="S60" s="366" t="b">
        <f t="shared" si="25"/>
        <v>0</v>
      </c>
      <c r="T60" s="366" t="b">
        <f t="shared" si="28"/>
        <v>0</v>
      </c>
      <c r="U60" s="367"/>
      <c r="V60" s="366" t="b">
        <f t="shared" si="26"/>
        <v>0</v>
      </c>
      <c r="W60" s="367"/>
      <c r="X60" s="367"/>
      <c r="Y60" s="367"/>
      <c r="Z60" s="367"/>
      <c r="AA60" s="367"/>
      <c r="AB60" s="367"/>
      <c r="AC60" s="367"/>
      <c r="AD60" s="367"/>
      <c r="AE60" s="367"/>
      <c r="AF60" s="367"/>
      <c r="AG60" s="367"/>
      <c r="AH60" s="367"/>
      <c r="AI60" s="238"/>
      <c r="AJ60" s="238"/>
      <c r="AK60" s="238"/>
      <c r="AL60" s="238"/>
      <c r="AM60" s="238"/>
      <c r="AN60" s="238"/>
      <c r="AO60" s="238"/>
      <c r="AP60" s="238"/>
      <c r="AQ60" s="238"/>
      <c r="AR60" s="238"/>
      <c r="AS60" s="238"/>
      <c r="AT60" s="238"/>
      <c r="AU60" s="238"/>
      <c r="AV60" s="238"/>
      <c r="AW60" s="238"/>
      <c r="AX60" s="238"/>
      <c r="AY60" s="238"/>
    </row>
    <row r="61" spans="1:51" s="7" customFormat="1" ht="45" customHeight="1" x14ac:dyDescent="0.2">
      <c r="A61" s="295"/>
      <c r="B61" s="298"/>
      <c r="C61" s="307"/>
      <c r="D61" s="306"/>
      <c r="E61" s="300"/>
      <c r="F61" s="57" t="str">
        <f t="shared" si="16"/>
        <v/>
      </c>
      <c r="G61" s="216" t="str">
        <f t="shared" si="17"/>
        <v xml:space="preserve">  </v>
      </c>
      <c r="H61" s="366" t="b">
        <f t="shared" si="18"/>
        <v>0</v>
      </c>
      <c r="I61" s="366" t="b">
        <f t="shared" si="19"/>
        <v>0</v>
      </c>
      <c r="J61" s="366" t="b">
        <f t="shared" si="20"/>
        <v>1</v>
      </c>
      <c r="K61" s="366"/>
      <c r="L61" s="366"/>
      <c r="M61" s="386" t="str">
        <f t="shared" si="21"/>
        <v/>
      </c>
      <c r="N61" s="366" t="b">
        <f t="shared" si="22"/>
        <v>0</v>
      </c>
      <c r="O61" s="367"/>
      <c r="P61" s="367"/>
      <c r="Q61" s="389" t="b">
        <f t="shared" si="23"/>
        <v>0</v>
      </c>
      <c r="R61" s="366" t="b">
        <f t="shared" si="24"/>
        <v>0</v>
      </c>
      <c r="S61" s="366" t="b">
        <f t="shared" si="25"/>
        <v>0</v>
      </c>
      <c r="T61" s="366" t="b">
        <f t="shared" si="28"/>
        <v>0</v>
      </c>
      <c r="U61" s="367"/>
      <c r="V61" s="366" t="b">
        <f t="shared" si="26"/>
        <v>0</v>
      </c>
      <c r="W61" s="367"/>
      <c r="X61" s="367"/>
      <c r="Y61" s="367"/>
      <c r="Z61" s="367"/>
      <c r="AA61" s="367"/>
      <c r="AB61" s="367"/>
      <c r="AC61" s="367"/>
      <c r="AD61" s="367"/>
      <c r="AE61" s="367"/>
      <c r="AF61" s="367"/>
      <c r="AG61" s="367"/>
      <c r="AH61" s="367"/>
      <c r="AI61" s="238"/>
      <c r="AJ61" s="238"/>
      <c r="AK61" s="238"/>
      <c r="AL61" s="238"/>
      <c r="AM61" s="238"/>
      <c r="AN61" s="238"/>
      <c r="AO61" s="238"/>
      <c r="AP61" s="238"/>
      <c r="AQ61" s="238"/>
      <c r="AR61" s="238"/>
      <c r="AS61" s="238"/>
      <c r="AT61" s="238"/>
      <c r="AU61" s="238"/>
      <c r="AV61" s="238"/>
      <c r="AW61" s="238"/>
      <c r="AX61" s="238"/>
      <c r="AY61" s="238"/>
    </row>
    <row r="62" spans="1:51" s="7" customFormat="1" ht="45" customHeight="1" x14ac:dyDescent="0.2">
      <c r="A62" s="295"/>
      <c r="B62" s="298"/>
      <c r="C62" s="307"/>
      <c r="D62" s="306"/>
      <c r="E62" s="300"/>
      <c r="F62" s="57" t="str">
        <f t="shared" si="16"/>
        <v/>
      </c>
      <c r="G62" s="216" t="str">
        <f t="shared" si="17"/>
        <v xml:space="preserve">  </v>
      </c>
      <c r="H62" s="366" t="b">
        <f t="shared" si="18"/>
        <v>0</v>
      </c>
      <c r="I62" s="366" t="b">
        <f t="shared" si="19"/>
        <v>0</v>
      </c>
      <c r="J62" s="366" t="b">
        <f t="shared" si="20"/>
        <v>1</v>
      </c>
      <c r="K62" s="366"/>
      <c r="L62" s="366"/>
      <c r="M62" s="386" t="str">
        <f t="shared" si="21"/>
        <v/>
      </c>
      <c r="N62" s="366" t="b">
        <f t="shared" si="22"/>
        <v>0</v>
      </c>
      <c r="O62" s="367"/>
      <c r="P62" s="367"/>
      <c r="Q62" s="389" t="b">
        <f t="shared" si="23"/>
        <v>0</v>
      </c>
      <c r="R62" s="366" t="b">
        <f t="shared" si="24"/>
        <v>0</v>
      </c>
      <c r="S62" s="366" t="b">
        <f t="shared" si="25"/>
        <v>0</v>
      </c>
      <c r="T62" s="366" t="b">
        <f t="shared" si="28"/>
        <v>0</v>
      </c>
      <c r="U62" s="367"/>
      <c r="V62" s="366" t="b">
        <f t="shared" si="26"/>
        <v>0</v>
      </c>
      <c r="W62" s="367"/>
      <c r="X62" s="367"/>
      <c r="Y62" s="367"/>
      <c r="Z62" s="367"/>
      <c r="AA62" s="367"/>
      <c r="AB62" s="367"/>
      <c r="AC62" s="367"/>
      <c r="AD62" s="367"/>
      <c r="AE62" s="367"/>
      <c r="AF62" s="367"/>
      <c r="AG62" s="367"/>
      <c r="AH62" s="367"/>
      <c r="AI62" s="238"/>
      <c r="AJ62" s="238"/>
      <c r="AK62" s="238"/>
      <c r="AL62" s="238"/>
      <c r="AM62" s="238"/>
      <c r="AN62" s="238"/>
      <c r="AO62" s="238"/>
      <c r="AP62" s="238"/>
      <c r="AQ62" s="238"/>
      <c r="AR62" s="238"/>
      <c r="AS62" s="238"/>
      <c r="AT62" s="238"/>
      <c r="AU62" s="238"/>
      <c r="AV62" s="238"/>
      <c r="AW62" s="238"/>
      <c r="AX62" s="238"/>
      <c r="AY62" s="238"/>
    </row>
    <row r="63" spans="1:51" s="7" customFormat="1" ht="45" customHeight="1" x14ac:dyDescent="0.2">
      <c r="A63" s="295"/>
      <c r="B63" s="298"/>
      <c r="C63" s="307"/>
      <c r="D63" s="306"/>
      <c r="E63" s="300"/>
      <c r="F63" s="57" t="str">
        <f t="shared" si="16"/>
        <v/>
      </c>
      <c r="G63" s="216" t="str">
        <f t="shared" si="17"/>
        <v xml:space="preserve">  </v>
      </c>
      <c r="H63" s="366" t="b">
        <f t="shared" si="18"/>
        <v>0</v>
      </c>
      <c r="I63" s="366" t="b">
        <f t="shared" si="19"/>
        <v>0</v>
      </c>
      <c r="J63" s="366" t="b">
        <f t="shared" si="20"/>
        <v>1</v>
      </c>
      <c r="K63" s="366"/>
      <c r="L63" s="366"/>
      <c r="M63" s="386" t="str">
        <f t="shared" si="21"/>
        <v/>
      </c>
      <c r="N63" s="366" t="b">
        <f t="shared" si="22"/>
        <v>0</v>
      </c>
      <c r="O63" s="367"/>
      <c r="P63" s="367"/>
      <c r="Q63" s="389" t="b">
        <f t="shared" si="23"/>
        <v>0</v>
      </c>
      <c r="R63" s="366" t="b">
        <f t="shared" si="24"/>
        <v>0</v>
      </c>
      <c r="S63" s="366" t="b">
        <f t="shared" si="25"/>
        <v>0</v>
      </c>
      <c r="T63" s="366" t="b">
        <f t="shared" si="28"/>
        <v>0</v>
      </c>
      <c r="U63" s="367"/>
      <c r="V63" s="366" t="b">
        <f t="shared" si="26"/>
        <v>0</v>
      </c>
      <c r="W63" s="367"/>
      <c r="X63" s="367"/>
      <c r="Y63" s="367"/>
      <c r="Z63" s="367"/>
      <c r="AA63" s="367"/>
      <c r="AB63" s="367"/>
      <c r="AC63" s="367"/>
      <c r="AD63" s="367"/>
      <c r="AE63" s="367"/>
      <c r="AF63" s="367"/>
      <c r="AG63" s="367"/>
      <c r="AH63" s="367"/>
      <c r="AI63" s="238"/>
      <c r="AJ63" s="238"/>
      <c r="AK63" s="238"/>
      <c r="AL63" s="238"/>
      <c r="AM63" s="238"/>
      <c r="AN63" s="238"/>
      <c r="AO63" s="238"/>
      <c r="AP63" s="238"/>
      <c r="AQ63" s="238"/>
      <c r="AR63" s="238"/>
      <c r="AS63" s="238"/>
      <c r="AT63" s="238"/>
      <c r="AU63" s="238"/>
      <c r="AV63" s="238"/>
      <c r="AW63" s="238"/>
      <c r="AX63" s="238"/>
      <c r="AY63" s="238"/>
    </row>
    <row r="64" spans="1:51" s="7" customFormat="1" ht="45" customHeight="1" x14ac:dyDescent="0.2">
      <c r="A64" s="295"/>
      <c r="B64" s="298"/>
      <c r="C64" s="307"/>
      <c r="D64" s="306"/>
      <c r="E64" s="300"/>
      <c r="F64" s="57" t="str">
        <f t="shared" si="16"/>
        <v/>
      </c>
      <c r="G64" s="216" t="str">
        <f t="shared" si="17"/>
        <v xml:space="preserve">  </v>
      </c>
      <c r="H64" s="366" t="b">
        <f t="shared" si="18"/>
        <v>0</v>
      </c>
      <c r="I64" s="366" t="b">
        <f t="shared" si="19"/>
        <v>0</v>
      </c>
      <c r="J64" s="366" t="b">
        <f t="shared" si="20"/>
        <v>1</v>
      </c>
      <c r="K64" s="366"/>
      <c r="L64" s="366"/>
      <c r="M64" s="386" t="str">
        <f t="shared" si="21"/>
        <v/>
      </c>
      <c r="N64" s="366" t="b">
        <f t="shared" si="22"/>
        <v>0</v>
      </c>
      <c r="O64" s="367"/>
      <c r="P64" s="367"/>
      <c r="Q64" s="389" t="b">
        <f t="shared" si="23"/>
        <v>0</v>
      </c>
      <c r="R64" s="366" t="b">
        <f t="shared" si="24"/>
        <v>0</v>
      </c>
      <c r="S64" s="366" t="b">
        <f t="shared" si="25"/>
        <v>0</v>
      </c>
      <c r="T64" s="366" t="b">
        <f t="shared" si="28"/>
        <v>0</v>
      </c>
      <c r="U64" s="367"/>
      <c r="V64" s="366" t="b">
        <f t="shared" si="26"/>
        <v>0</v>
      </c>
      <c r="W64" s="367"/>
      <c r="X64" s="367"/>
      <c r="Y64" s="367"/>
      <c r="Z64" s="367"/>
      <c r="AA64" s="367"/>
      <c r="AB64" s="367"/>
      <c r="AC64" s="367"/>
      <c r="AD64" s="367"/>
      <c r="AE64" s="367"/>
      <c r="AF64" s="367"/>
      <c r="AG64" s="367"/>
      <c r="AH64" s="367"/>
      <c r="AI64" s="238"/>
      <c r="AJ64" s="238"/>
      <c r="AK64" s="238"/>
      <c r="AL64" s="238"/>
      <c r="AM64" s="238"/>
      <c r="AN64" s="238"/>
      <c r="AO64" s="238"/>
      <c r="AP64" s="238"/>
      <c r="AQ64" s="238"/>
      <c r="AR64" s="238"/>
      <c r="AS64" s="238"/>
      <c r="AT64" s="238"/>
      <c r="AU64" s="238"/>
      <c r="AV64" s="238"/>
      <c r="AW64" s="238"/>
      <c r="AX64" s="238"/>
      <c r="AY64" s="238"/>
    </row>
    <row r="65" spans="1:51" s="7" customFormat="1" ht="45" customHeight="1" x14ac:dyDescent="0.2">
      <c r="A65" s="295"/>
      <c r="B65" s="298"/>
      <c r="C65" s="307"/>
      <c r="D65" s="306"/>
      <c r="E65" s="300"/>
      <c r="F65" s="57" t="str">
        <f t="shared" si="16"/>
        <v/>
      </c>
      <c r="G65" s="216" t="str">
        <f t="shared" si="17"/>
        <v xml:space="preserve">  </v>
      </c>
      <c r="H65" s="366" t="b">
        <f t="shared" si="18"/>
        <v>0</v>
      </c>
      <c r="I65" s="366" t="b">
        <f t="shared" si="19"/>
        <v>0</v>
      </c>
      <c r="J65" s="366" t="b">
        <f t="shared" si="20"/>
        <v>1</v>
      </c>
      <c r="K65" s="366"/>
      <c r="L65" s="366"/>
      <c r="M65" s="386" t="str">
        <f t="shared" si="21"/>
        <v/>
      </c>
      <c r="N65" s="366" t="b">
        <f t="shared" si="22"/>
        <v>0</v>
      </c>
      <c r="O65" s="367"/>
      <c r="P65" s="367"/>
      <c r="Q65" s="389" t="b">
        <f t="shared" si="23"/>
        <v>0</v>
      </c>
      <c r="R65" s="366" t="b">
        <f t="shared" si="24"/>
        <v>0</v>
      </c>
      <c r="S65" s="366" t="b">
        <f t="shared" si="25"/>
        <v>0</v>
      </c>
      <c r="T65" s="366" t="b">
        <f t="shared" si="28"/>
        <v>0</v>
      </c>
      <c r="U65" s="367"/>
      <c r="V65" s="366" t="b">
        <f t="shared" si="26"/>
        <v>0</v>
      </c>
      <c r="W65" s="367"/>
      <c r="X65" s="367"/>
      <c r="Y65" s="367"/>
      <c r="Z65" s="367"/>
      <c r="AA65" s="367"/>
      <c r="AB65" s="367"/>
      <c r="AC65" s="367"/>
      <c r="AD65" s="367"/>
      <c r="AE65" s="367"/>
      <c r="AF65" s="367"/>
      <c r="AG65" s="367"/>
      <c r="AH65" s="367"/>
      <c r="AI65" s="238"/>
      <c r="AJ65" s="238"/>
      <c r="AK65" s="238"/>
      <c r="AL65" s="238"/>
      <c r="AM65" s="238"/>
      <c r="AN65" s="238"/>
      <c r="AO65" s="238"/>
      <c r="AP65" s="238"/>
      <c r="AQ65" s="238"/>
      <c r="AR65" s="238"/>
      <c r="AS65" s="238"/>
      <c r="AT65" s="238"/>
      <c r="AU65" s="238"/>
      <c r="AV65" s="238"/>
      <c r="AW65" s="238"/>
      <c r="AX65" s="238"/>
      <c r="AY65" s="238"/>
    </row>
    <row r="66" spans="1:51" s="7" customFormat="1" ht="45" customHeight="1" x14ac:dyDescent="0.2">
      <c r="A66" s="295"/>
      <c r="B66" s="298"/>
      <c r="C66" s="307"/>
      <c r="D66" s="306"/>
      <c r="E66" s="300"/>
      <c r="F66" s="57" t="str">
        <f t="shared" si="16"/>
        <v/>
      </c>
      <c r="G66" s="216" t="str">
        <f t="shared" si="17"/>
        <v xml:space="preserve">  </v>
      </c>
      <c r="H66" s="366" t="b">
        <f t="shared" si="18"/>
        <v>0</v>
      </c>
      <c r="I66" s="366" t="b">
        <f t="shared" si="19"/>
        <v>0</v>
      </c>
      <c r="J66" s="366" t="b">
        <f t="shared" si="20"/>
        <v>1</v>
      </c>
      <c r="K66" s="366"/>
      <c r="L66" s="366"/>
      <c r="M66" s="386" t="str">
        <f t="shared" si="21"/>
        <v/>
      </c>
      <c r="N66" s="366" t="b">
        <f t="shared" si="22"/>
        <v>0</v>
      </c>
      <c r="O66" s="367"/>
      <c r="P66" s="367"/>
      <c r="Q66" s="389" t="b">
        <f t="shared" si="23"/>
        <v>0</v>
      </c>
      <c r="R66" s="366" t="b">
        <f t="shared" si="24"/>
        <v>0</v>
      </c>
      <c r="S66" s="366" t="b">
        <f t="shared" si="25"/>
        <v>0</v>
      </c>
      <c r="T66" s="366" t="b">
        <f t="shared" si="28"/>
        <v>0</v>
      </c>
      <c r="U66" s="367"/>
      <c r="V66" s="366" t="b">
        <f t="shared" si="26"/>
        <v>0</v>
      </c>
      <c r="W66" s="367"/>
      <c r="X66" s="367"/>
      <c r="Y66" s="367"/>
      <c r="Z66" s="367"/>
      <c r="AA66" s="367"/>
      <c r="AB66" s="367"/>
      <c r="AC66" s="367"/>
      <c r="AD66" s="367"/>
      <c r="AE66" s="367"/>
      <c r="AF66" s="367"/>
      <c r="AG66" s="367"/>
      <c r="AH66" s="367"/>
      <c r="AI66" s="238"/>
      <c r="AJ66" s="238"/>
      <c r="AK66" s="238"/>
      <c r="AL66" s="238"/>
      <c r="AM66" s="238"/>
      <c r="AN66" s="238"/>
      <c r="AO66" s="238"/>
      <c r="AP66" s="238"/>
      <c r="AQ66" s="238"/>
      <c r="AR66" s="238"/>
      <c r="AS66" s="238"/>
      <c r="AT66" s="238"/>
      <c r="AU66" s="238"/>
      <c r="AV66" s="238"/>
      <c r="AW66" s="238"/>
      <c r="AX66" s="238"/>
      <c r="AY66" s="238"/>
    </row>
    <row r="67" spans="1:51" s="7" customFormat="1" ht="45" customHeight="1" x14ac:dyDescent="0.2">
      <c r="A67" s="295"/>
      <c r="B67" s="298"/>
      <c r="C67" s="307"/>
      <c r="D67" s="306"/>
      <c r="E67" s="300"/>
      <c r="F67" s="57" t="str">
        <f t="shared" si="16"/>
        <v/>
      </c>
      <c r="G67" s="216" t="str">
        <f t="shared" si="17"/>
        <v xml:space="preserve">  </v>
      </c>
      <c r="H67" s="366" t="b">
        <f t="shared" si="18"/>
        <v>0</v>
      </c>
      <c r="I67" s="366" t="b">
        <f t="shared" si="19"/>
        <v>0</v>
      </c>
      <c r="J67" s="366" t="b">
        <f t="shared" si="20"/>
        <v>1</v>
      </c>
      <c r="K67" s="366"/>
      <c r="L67" s="366"/>
      <c r="M67" s="386" t="str">
        <f t="shared" si="21"/>
        <v/>
      </c>
      <c r="N67" s="366" t="b">
        <f t="shared" si="22"/>
        <v>0</v>
      </c>
      <c r="O67" s="367"/>
      <c r="P67" s="367"/>
      <c r="Q67" s="389" t="b">
        <f t="shared" si="23"/>
        <v>0</v>
      </c>
      <c r="R67" s="366" t="b">
        <f t="shared" si="24"/>
        <v>0</v>
      </c>
      <c r="S67" s="366" t="b">
        <f t="shared" si="25"/>
        <v>0</v>
      </c>
      <c r="T67" s="366" t="b">
        <f t="shared" si="28"/>
        <v>0</v>
      </c>
      <c r="U67" s="367"/>
      <c r="V67" s="366" t="b">
        <f t="shared" si="26"/>
        <v>0</v>
      </c>
      <c r="W67" s="367"/>
      <c r="X67" s="367"/>
      <c r="Y67" s="367"/>
      <c r="Z67" s="367"/>
      <c r="AA67" s="367"/>
      <c r="AB67" s="367"/>
      <c r="AC67" s="367"/>
      <c r="AD67" s="367"/>
      <c r="AE67" s="367"/>
      <c r="AF67" s="367"/>
      <c r="AG67" s="367"/>
      <c r="AH67" s="367"/>
      <c r="AI67" s="238"/>
      <c r="AJ67" s="238"/>
      <c r="AK67" s="238"/>
      <c r="AL67" s="238"/>
      <c r="AM67" s="238"/>
      <c r="AN67" s="238"/>
      <c r="AO67" s="238"/>
      <c r="AP67" s="238"/>
      <c r="AQ67" s="238"/>
      <c r="AR67" s="238"/>
      <c r="AS67" s="238"/>
      <c r="AT67" s="238"/>
      <c r="AU67" s="238"/>
      <c r="AV67" s="238"/>
      <c r="AW67" s="238"/>
      <c r="AX67" s="238"/>
      <c r="AY67" s="238"/>
    </row>
    <row r="68" spans="1:51" s="7" customFormat="1" ht="45" customHeight="1" x14ac:dyDescent="0.2">
      <c r="A68" s="295"/>
      <c r="B68" s="298"/>
      <c r="C68" s="307"/>
      <c r="D68" s="306"/>
      <c r="E68" s="300"/>
      <c r="F68" s="57" t="str">
        <f t="shared" si="16"/>
        <v/>
      </c>
      <c r="G68" s="216" t="str">
        <f t="shared" si="17"/>
        <v xml:space="preserve">  </v>
      </c>
      <c r="H68" s="366" t="b">
        <f t="shared" si="18"/>
        <v>0</v>
      </c>
      <c r="I68" s="366" t="b">
        <f t="shared" si="19"/>
        <v>0</v>
      </c>
      <c r="J68" s="366" t="b">
        <f t="shared" si="20"/>
        <v>1</v>
      </c>
      <c r="K68" s="366"/>
      <c r="L68" s="366"/>
      <c r="M68" s="386" t="str">
        <f t="shared" si="21"/>
        <v/>
      </c>
      <c r="N68" s="366" t="b">
        <f t="shared" si="22"/>
        <v>0</v>
      </c>
      <c r="O68" s="367"/>
      <c r="P68" s="367"/>
      <c r="Q68" s="389" t="b">
        <f t="shared" si="23"/>
        <v>0</v>
      </c>
      <c r="R68" s="366" t="b">
        <f t="shared" si="24"/>
        <v>0</v>
      </c>
      <c r="S68" s="366" t="b">
        <f t="shared" si="25"/>
        <v>0</v>
      </c>
      <c r="T68" s="366" t="b">
        <f t="shared" si="28"/>
        <v>0</v>
      </c>
      <c r="U68" s="367"/>
      <c r="V68" s="366" t="b">
        <f t="shared" si="26"/>
        <v>0</v>
      </c>
      <c r="W68" s="367"/>
      <c r="X68" s="367"/>
      <c r="Y68" s="367"/>
      <c r="Z68" s="367"/>
      <c r="AA68" s="367"/>
      <c r="AB68" s="367"/>
      <c r="AC68" s="367"/>
      <c r="AD68" s="367"/>
      <c r="AE68" s="367"/>
      <c r="AF68" s="367"/>
      <c r="AG68" s="367"/>
      <c r="AH68" s="367"/>
      <c r="AI68" s="238"/>
      <c r="AJ68" s="238"/>
      <c r="AK68" s="238"/>
      <c r="AL68" s="238"/>
      <c r="AM68" s="238"/>
      <c r="AN68" s="238"/>
      <c r="AO68" s="238"/>
      <c r="AP68" s="238"/>
      <c r="AQ68" s="238"/>
      <c r="AR68" s="238"/>
      <c r="AS68" s="238"/>
      <c r="AT68" s="238"/>
      <c r="AU68" s="238"/>
      <c r="AV68" s="238"/>
      <c r="AW68" s="238"/>
      <c r="AX68" s="238"/>
      <c r="AY68" s="238"/>
    </row>
    <row r="69" spans="1:51" s="7" customFormat="1" ht="45" customHeight="1" x14ac:dyDescent="0.2">
      <c r="A69" s="295"/>
      <c r="B69" s="298"/>
      <c r="C69" s="307"/>
      <c r="D69" s="306"/>
      <c r="E69" s="300"/>
      <c r="F69" s="57" t="str">
        <f t="shared" si="16"/>
        <v/>
      </c>
      <c r="G69" s="216" t="str">
        <f t="shared" si="17"/>
        <v xml:space="preserve">  </v>
      </c>
      <c r="H69" s="366" t="b">
        <f t="shared" si="18"/>
        <v>0</v>
      </c>
      <c r="I69" s="366" t="b">
        <f t="shared" si="19"/>
        <v>0</v>
      </c>
      <c r="J69" s="366" t="b">
        <f t="shared" si="20"/>
        <v>1</v>
      </c>
      <c r="K69" s="366"/>
      <c r="L69" s="366"/>
      <c r="M69" s="386" t="str">
        <f t="shared" si="21"/>
        <v/>
      </c>
      <c r="N69" s="366" t="b">
        <f t="shared" si="22"/>
        <v>0</v>
      </c>
      <c r="O69" s="367"/>
      <c r="P69" s="367"/>
      <c r="Q69" s="389" t="b">
        <f t="shared" si="23"/>
        <v>0</v>
      </c>
      <c r="R69" s="366" t="b">
        <f t="shared" si="24"/>
        <v>0</v>
      </c>
      <c r="S69" s="366" t="b">
        <f t="shared" si="25"/>
        <v>0</v>
      </c>
      <c r="T69" s="366" t="b">
        <f t="shared" si="28"/>
        <v>0</v>
      </c>
      <c r="U69" s="367"/>
      <c r="V69" s="366" t="b">
        <f t="shared" si="26"/>
        <v>0</v>
      </c>
      <c r="W69" s="367"/>
      <c r="X69" s="367"/>
      <c r="Y69" s="367"/>
      <c r="Z69" s="367"/>
      <c r="AA69" s="367"/>
      <c r="AB69" s="367"/>
      <c r="AC69" s="367"/>
      <c r="AD69" s="367"/>
      <c r="AE69" s="367"/>
      <c r="AF69" s="367"/>
      <c r="AG69" s="367"/>
      <c r="AH69" s="367"/>
      <c r="AI69" s="238"/>
      <c r="AJ69" s="238"/>
      <c r="AK69" s="238"/>
      <c r="AL69" s="238"/>
      <c r="AM69" s="238"/>
      <c r="AN69" s="238"/>
      <c r="AO69" s="238"/>
      <c r="AP69" s="238"/>
      <c r="AQ69" s="238"/>
      <c r="AR69" s="238"/>
      <c r="AS69" s="238"/>
      <c r="AT69" s="238"/>
      <c r="AU69" s="238"/>
      <c r="AV69" s="238"/>
      <c r="AW69" s="238"/>
      <c r="AX69" s="238"/>
      <c r="AY69" s="238"/>
    </row>
    <row r="70" spans="1:51" s="7" customFormat="1" ht="45" customHeight="1" x14ac:dyDescent="0.2">
      <c r="A70" s="295"/>
      <c r="B70" s="298"/>
      <c r="C70" s="307"/>
      <c r="D70" s="306"/>
      <c r="E70" s="300"/>
      <c r="F70" s="57" t="str">
        <f t="shared" si="16"/>
        <v/>
      </c>
      <c r="G70" s="216" t="str">
        <f t="shared" si="17"/>
        <v xml:space="preserve">  </v>
      </c>
      <c r="H70" s="366" t="b">
        <f t="shared" si="18"/>
        <v>0</v>
      </c>
      <c r="I70" s="366" t="b">
        <f t="shared" si="19"/>
        <v>0</v>
      </c>
      <c r="J70" s="366" t="b">
        <f t="shared" si="20"/>
        <v>1</v>
      </c>
      <c r="K70" s="366"/>
      <c r="L70" s="366"/>
      <c r="M70" s="386" t="str">
        <f t="shared" si="21"/>
        <v/>
      </c>
      <c r="N70" s="366" t="b">
        <f t="shared" si="22"/>
        <v>0</v>
      </c>
      <c r="O70" s="367"/>
      <c r="P70" s="367"/>
      <c r="Q70" s="389" t="b">
        <f t="shared" si="23"/>
        <v>0</v>
      </c>
      <c r="R70" s="366" t="b">
        <f t="shared" si="24"/>
        <v>0</v>
      </c>
      <c r="S70" s="366" t="b">
        <f t="shared" si="25"/>
        <v>0</v>
      </c>
      <c r="T70" s="366" t="b">
        <f t="shared" si="28"/>
        <v>0</v>
      </c>
      <c r="U70" s="367"/>
      <c r="V70" s="366" t="b">
        <f t="shared" si="26"/>
        <v>0</v>
      </c>
      <c r="W70" s="367"/>
      <c r="X70" s="367"/>
      <c r="Y70" s="367"/>
      <c r="Z70" s="367"/>
      <c r="AA70" s="367"/>
      <c r="AB70" s="367"/>
      <c r="AC70" s="367"/>
      <c r="AD70" s="367"/>
      <c r="AE70" s="367"/>
      <c r="AF70" s="367"/>
      <c r="AG70" s="367"/>
      <c r="AH70" s="367"/>
      <c r="AI70" s="238"/>
      <c r="AJ70" s="238"/>
      <c r="AK70" s="238"/>
      <c r="AL70" s="238"/>
      <c r="AM70" s="238"/>
      <c r="AN70" s="238"/>
      <c r="AO70" s="238"/>
      <c r="AP70" s="238"/>
      <c r="AQ70" s="238"/>
      <c r="AR70" s="238"/>
      <c r="AS70" s="238"/>
      <c r="AT70" s="238"/>
      <c r="AU70" s="238"/>
      <c r="AV70" s="238"/>
      <c r="AW70" s="238"/>
      <c r="AX70" s="238"/>
      <c r="AY70" s="238"/>
    </row>
    <row r="71" spans="1:51" s="7" customFormat="1" ht="45" customHeight="1" x14ac:dyDescent="0.2">
      <c r="A71" s="295"/>
      <c r="B71" s="298"/>
      <c r="C71" s="307"/>
      <c r="D71" s="306"/>
      <c r="E71" s="300"/>
      <c r="F71" s="57" t="str">
        <f t="shared" si="16"/>
        <v/>
      </c>
      <c r="G71" s="216" t="str">
        <f t="shared" si="17"/>
        <v xml:space="preserve">  </v>
      </c>
      <c r="H71" s="366" t="b">
        <f t="shared" si="18"/>
        <v>0</v>
      </c>
      <c r="I71" s="366" t="b">
        <f t="shared" si="19"/>
        <v>0</v>
      </c>
      <c r="J71" s="366" t="b">
        <f t="shared" si="20"/>
        <v>1</v>
      </c>
      <c r="K71" s="366"/>
      <c r="L71" s="366"/>
      <c r="M71" s="386" t="str">
        <f t="shared" si="21"/>
        <v/>
      </c>
      <c r="N71" s="366" t="b">
        <f t="shared" si="22"/>
        <v>0</v>
      </c>
      <c r="O71" s="367"/>
      <c r="P71" s="367"/>
      <c r="Q71" s="389" t="b">
        <f t="shared" si="23"/>
        <v>0</v>
      </c>
      <c r="R71" s="366" t="b">
        <f t="shared" si="24"/>
        <v>0</v>
      </c>
      <c r="S71" s="366" t="b">
        <f t="shared" si="25"/>
        <v>0</v>
      </c>
      <c r="T71" s="366" t="b">
        <f t="shared" si="28"/>
        <v>0</v>
      </c>
      <c r="U71" s="367"/>
      <c r="V71" s="366" t="b">
        <f t="shared" si="26"/>
        <v>0</v>
      </c>
      <c r="W71" s="367"/>
      <c r="X71" s="367"/>
      <c r="Y71" s="367"/>
      <c r="Z71" s="367"/>
      <c r="AA71" s="367"/>
      <c r="AB71" s="367"/>
      <c r="AC71" s="367"/>
      <c r="AD71" s="367"/>
      <c r="AE71" s="367"/>
      <c r="AF71" s="367"/>
      <c r="AG71" s="367"/>
      <c r="AH71" s="367"/>
      <c r="AI71" s="238"/>
      <c r="AJ71" s="238"/>
      <c r="AK71" s="238"/>
      <c r="AL71" s="238"/>
      <c r="AM71" s="238"/>
      <c r="AN71" s="238"/>
      <c r="AO71" s="238"/>
      <c r="AP71" s="238"/>
      <c r="AQ71" s="238"/>
      <c r="AR71" s="238"/>
      <c r="AS71" s="238"/>
      <c r="AT71" s="238"/>
      <c r="AU71" s="238"/>
      <c r="AV71" s="238"/>
      <c r="AW71" s="238"/>
      <c r="AX71" s="238"/>
      <c r="AY71" s="238"/>
    </row>
    <row r="72" spans="1:51" s="7" customFormat="1" ht="45" customHeight="1" x14ac:dyDescent="0.2">
      <c r="A72" s="295"/>
      <c r="B72" s="298"/>
      <c r="C72" s="307"/>
      <c r="D72" s="306"/>
      <c r="E72" s="300"/>
      <c r="F72" s="57" t="str">
        <f t="shared" si="16"/>
        <v/>
      </c>
      <c r="G72" s="216" t="str">
        <f t="shared" si="17"/>
        <v xml:space="preserve">  </v>
      </c>
      <c r="H72" s="366" t="b">
        <f t="shared" si="18"/>
        <v>0</v>
      </c>
      <c r="I72" s="366" t="b">
        <f t="shared" si="19"/>
        <v>0</v>
      </c>
      <c r="J72" s="366" t="b">
        <f t="shared" si="20"/>
        <v>1</v>
      </c>
      <c r="K72" s="366"/>
      <c r="L72" s="366"/>
      <c r="M72" s="386" t="str">
        <f t="shared" si="21"/>
        <v/>
      </c>
      <c r="N72" s="366" t="b">
        <f t="shared" si="22"/>
        <v>0</v>
      </c>
      <c r="O72" s="367"/>
      <c r="P72" s="367"/>
      <c r="Q72" s="389" t="b">
        <f t="shared" si="23"/>
        <v>0</v>
      </c>
      <c r="R72" s="366" t="b">
        <f t="shared" si="24"/>
        <v>0</v>
      </c>
      <c r="S72" s="366" t="b">
        <f t="shared" si="25"/>
        <v>0</v>
      </c>
      <c r="T72" s="366" t="b">
        <f t="shared" si="28"/>
        <v>0</v>
      </c>
      <c r="U72" s="367"/>
      <c r="V72" s="366" t="b">
        <f t="shared" si="26"/>
        <v>0</v>
      </c>
      <c r="W72" s="367"/>
      <c r="X72" s="367"/>
      <c r="Y72" s="367"/>
      <c r="Z72" s="367"/>
      <c r="AA72" s="367"/>
      <c r="AB72" s="367"/>
      <c r="AC72" s="367"/>
      <c r="AD72" s="367"/>
      <c r="AE72" s="367"/>
      <c r="AF72" s="367"/>
      <c r="AG72" s="367"/>
      <c r="AH72" s="367"/>
      <c r="AI72" s="238"/>
      <c r="AJ72" s="238"/>
      <c r="AK72" s="238"/>
      <c r="AL72" s="238"/>
      <c r="AM72" s="238"/>
      <c r="AN72" s="238"/>
      <c r="AO72" s="238"/>
      <c r="AP72" s="238"/>
      <c r="AQ72" s="238"/>
      <c r="AR72" s="238"/>
      <c r="AS72" s="238"/>
      <c r="AT72" s="238"/>
      <c r="AU72" s="238"/>
      <c r="AV72" s="238"/>
      <c r="AW72" s="238"/>
      <c r="AX72" s="238"/>
      <c r="AY72" s="238"/>
    </row>
    <row r="73" spans="1:51" s="7" customFormat="1" ht="45" customHeight="1" x14ac:dyDescent="0.2">
      <c r="A73" s="295"/>
      <c r="B73" s="298"/>
      <c r="C73" s="307"/>
      <c r="D73" s="306"/>
      <c r="E73" s="300"/>
      <c r="F73" s="57" t="str">
        <f t="shared" si="16"/>
        <v/>
      </c>
      <c r="G73" s="216" t="str">
        <f t="shared" si="17"/>
        <v xml:space="preserve">  </v>
      </c>
      <c r="H73" s="366" t="b">
        <f t="shared" si="18"/>
        <v>0</v>
      </c>
      <c r="I73" s="366" t="b">
        <f t="shared" si="19"/>
        <v>0</v>
      </c>
      <c r="J73" s="366" t="b">
        <f t="shared" si="20"/>
        <v>1</v>
      </c>
      <c r="K73" s="366"/>
      <c r="L73" s="366"/>
      <c r="M73" s="386" t="str">
        <f t="shared" si="21"/>
        <v/>
      </c>
      <c r="N73" s="366" t="b">
        <f t="shared" si="22"/>
        <v>0</v>
      </c>
      <c r="O73" s="367"/>
      <c r="P73" s="367"/>
      <c r="Q73" s="389" t="b">
        <f t="shared" si="23"/>
        <v>0</v>
      </c>
      <c r="R73" s="366" t="b">
        <f t="shared" si="24"/>
        <v>0</v>
      </c>
      <c r="S73" s="366" t="b">
        <f t="shared" si="25"/>
        <v>0</v>
      </c>
      <c r="T73" s="366" t="b">
        <f t="shared" si="28"/>
        <v>0</v>
      </c>
      <c r="U73" s="367"/>
      <c r="V73" s="366" t="b">
        <f t="shared" si="26"/>
        <v>0</v>
      </c>
      <c r="W73" s="367"/>
      <c r="X73" s="367"/>
      <c r="Y73" s="367"/>
      <c r="Z73" s="367"/>
      <c r="AA73" s="367"/>
      <c r="AB73" s="367"/>
      <c r="AC73" s="367"/>
      <c r="AD73" s="367"/>
      <c r="AE73" s="367"/>
      <c r="AF73" s="367"/>
      <c r="AG73" s="367"/>
      <c r="AH73" s="367"/>
      <c r="AI73" s="238"/>
      <c r="AJ73" s="238"/>
      <c r="AK73" s="238"/>
      <c r="AL73" s="238"/>
      <c r="AM73" s="238"/>
      <c r="AN73" s="238"/>
      <c r="AO73" s="238"/>
      <c r="AP73" s="238"/>
      <c r="AQ73" s="238"/>
      <c r="AR73" s="238"/>
      <c r="AS73" s="238"/>
      <c r="AT73" s="238"/>
      <c r="AU73" s="238"/>
      <c r="AV73" s="238"/>
      <c r="AW73" s="238"/>
      <c r="AX73" s="238"/>
      <c r="AY73" s="238"/>
    </row>
    <row r="74" spans="1:51" s="7" customFormat="1" ht="45" customHeight="1" x14ac:dyDescent="0.2">
      <c r="A74" s="295"/>
      <c r="B74" s="298"/>
      <c r="C74" s="307"/>
      <c r="D74" s="306"/>
      <c r="E74" s="300"/>
      <c r="F74" s="57" t="str">
        <f t="shared" si="16"/>
        <v/>
      </c>
      <c r="G74" s="216" t="str">
        <f t="shared" si="17"/>
        <v xml:space="preserve">  </v>
      </c>
      <c r="H74" s="366" t="b">
        <f t="shared" si="18"/>
        <v>0</v>
      </c>
      <c r="I74" s="366" t="b">
        <f t="shared" si="19"/>
        <v>0</v>
      </c>
      <c r="J74" s="366" t="b">
        <f t="shared" si="20"/>
        <v>1</v>
      </c>
      <c r="K74" s="366"/>
      <c r="L74" s="366"/>
      <c r="M74" s="386" t="str">
        <f t="shared" si="21"/>
        <v/>
      </c>
      <c r="N74" s="366" t="b">
        <f t="shared" si="22"/>
        <v>0</v>
      </c>
      <c r="O74" s="367"/>
      <c r="P74" s="367"/>
      <c r="Q74" s="389" t="b">
        <f t="shared" si="23"/>
        <v>0</v>
      </c>
      <c r="R74" s="366" t="b">
        <f t="shared" si="24"/>
        <v>0</v>
      </c>
      <c r="S74" s="366" t="b">
        <f t="shared" si="25"/>
        <v>0</v>
      </c>
      <c r="T74" s="366" t="b">
        <f t="shared" si="28"/>
        <v>0</v>
      </c>
      <c r="U74" s="367"/>
      <c r="V74" s="366" t="b">
        <f t="shared" si="26"/>
        <v>0</v>
      </c>
      <c r="W74" s="367"/>
      <c r="X74" s="367"/>
      <c r="Y74" s="367"/>
      <c r="Z74" s="367"/>
      <c r="AA74" s="367"/>
      <c r="AB74" s="367"/>
      <c r="AC74" s="367"/>
      <c r="AD74" s="367"/>
      <c r="AE74" s="367"/>
      <c r="AF74" s="367"/>
      <c r="AG74" s="367"/>
      <c r="AH74" s="367"/>
      <c r="AI74" s="238"/>
      <c r="AJ74" s="238"/>
      <c r="AK74" s="238"/>
      <c r="AL74" s="238"/>
      <c r="AM74" s="238"/>
      <c r="AN74" s="238"/>
      <c r="AO74" s="238"/>
      <c r="AP74" s="238"/>
      <c r="AQ74" s="238"/>
      <c r="AR74" s="238"/>
      <c r="AS74" s="238"/>
      <c r="AT74" s="238"/>
      <c r="AU74" s="238"/>
      <c r="AV74" s="238"/>
      <c r="AW74" s="238"/>
      <c r="AX74" s="238"/>
      <c r="AY74" s="238"/>
    </row>
    <row r="75" spans="1:51" s="7" customFormat="1" ht="45" customHeight="1" x14ac:dyDescent="0.2">
      <c r="A75" s="295"/>
      <c r="B75" s="298"/>
      <c r="C75" s="307"/>
      <c r="D75" s="306"/>
      <c r="E75" s="300"/>
      <c r="F75" s="57" t="str">
        <f t="shared" si="16"/>
        <v/>
      </c>
      <c r="G75" s="216" t="str">
        <f t="shared" si="17"/>
        <v xml:space="preserve">  </v>
      </c>
      <c r="H75" s="366" t="b">
        <f t="shared" si="18"/>
        <v>0</v>
      </c>
      <c r="I75" s="366" t="b">
        <f t="shared" si="19"/>
        <v>0</v>
      </c>
      <c r="J75" s="366" t="b">
        <f t="shared" si="20"/>
        <v>1</v>
      </c>
      <c r="K75" s="366"/>
      <c r="L75" s="366"/>
      <c r="M75" s="386" t="str">
        <f t="shared" si="21"/>
        <v/>
      </c>
      <c r="N75" s="366" t="b">
        <f t="shared" si="22"/>
        <v>0</v>
      </c>
      <c r="O75" s="367"/>
      <c r="P75" s="367"/>
      <c r="Q75" s="389" t="b">
        <f t="shared" si="23"/>
        <v>0</v>
      </c>
      <c r="R75" s="366" t="b">
        <f t="shared" si="24"/>
        <v>0</v>
      </c>
      <c r="S75" s="366" t="b">
        <f t="shared" si="25"/>
        <v>0</v>
      </c>
      <c r="T75" s="366" t="b">
        <f t="shared" si="28"/>
        <v>0</v>
      </c>
      <c r="U75" s="367"/>
      <c r="V75" s="366" t="b">
        <f t="shared" si="26"/>
        <v>0</v>
      </c>
      <c r="W75" s="367"/>
      <c r="X75" s="367"/>
      <c r="Y75" s="367"/>
      <c r="Z75" s="367"/>
      <c r="AA75" s="367"/>
      <c r="AB75" s="367"/>
      <c r="AC75" s="367"/>
      <c r="AD75" s="367"/>
      <c r="AE75" s="367"/>
      <c r="AF75" s="367"/>
      <c r="AG75" s="367"/>
      <c r="AH75" s="367"/>
      <c r="AI75" s="238"/>
      <c r="AJ75" s="238"/>
      <c r="AK75" s="238"/>
      <c r="AL75" s="238"/>
      <c r="AM75" s="238"/>
      <c r="AN75" s="238"/>
      <c r="AO75" s="238"/>
      <c r="AP75" s="238"/>
      <c r="AQ75" s="238"/>
      <c r="AR75" s="238"/>
      <c r="AS75" s="238"/>
      <c r="AT75" s="238"/>
      <c r="AU75" s="238"/>
      <c r="AV75" s="238"/>
      <c r="AW75" s="238"/>
      <c r="AX75" s="238"/>
      <c r="AY75" s="238"/>
    </row>
    <row r="76" spans="1:51" s="7" customFormat="1" ht="45" customHeight="1" x14ac:dyDescent="0.2">
      <c r="A76" s="295"/>
      <c r="B76" s="298"/>
      <c r="C76" s="307"/>
      <c r="D76" s="306"/>
      <c r="E76" s="300"/>
      <c r="F76" s="57" t="str">
        <f t="shared" si="16"/>
        <v/>
      </c>
      <c r="G76" s="216" t="str">
        <f t="shared" si="17"/>
        <v xml:space="preserve">  </v>
      </c>
      <c r="H76" s="366" t="b">
        <f t="shared" si="18"/>
        <v>0</v>
      </c>
      <c r="I76" s="366" t="b">
        <f t="shared" si="19"/>
        <v>0</v>
      </c>
      <c r="J76" s="366" t="b">
        <f t="shared" si="20"/>
        <v>1</v>
      </c>
      <c r="K76" s="366"/>
      <c r="L76" s="366"/>
      <c r="M76" s="386" t="str">
        <f t="shared" si="21"/>
        <v/>
      </c>
      <c r="N76" s="366" t="b">
        <f t="shared" si="22"/>
        <v>0</v>
      </c>
      <c r="O76" s="367"/>
      <c r="P76" s="367"/>
      <c r="Q76" s="389" t="b">
        <f t="shared" si="23"/>
        <v>0</v>
      </c>
      <c r="R76" s="366" t="b">
        <f t="shared" si="24"/>
        <v>0</v>
      </c>
      <c r="S76" s="366" t="b">
        <f t="shared" si="25"/>
        <v>0</v>
      </c>
      <c r="T76" s="366" t="b">
        <f t="shared" si="28"/>
        <v>0</v>
      </c>
      <c r="U76" s="367"/>
      <c r="V76" s="366" t="b">
        <f t="shared" si="26"/>
        <v>0</v>
      </c>
      <c r="W76" s="367"/>
      <c r="X76" s="367"/>
      <c r="Y76" s="367"/>
      <c r="Z76" s="367"/>
      <c r="AA76" s="367"/>
      <c r="AB76" s="367"/>
      <c r="AC76" s="367"/>
      <c r="AD76" s="367"/>
      <c r="AE76" s="367"/>
      <c r="AF76" s="367"/>
      <c r="AG76" s="367"/>
      <c r="AH76" s="367"/>
      <c r="AI76" s="238"/>
      <c r="AJ76" s="238"/>
      <c r="AK76" s="238"/>
      <c r="AL76" s="238"/>
      <c r="AM76" s="238"/>
      <c r="AN76" s="238"/>
      <c r="AO76" s="238"/>
      <c r="AP76" s="238"/>
      <c r="AQ76" s="238"/>
      <c r="AR76" s="238"/>
      <c r="AS76" s="238"/>
      <c r="AT76" s="238"/>
      <c r="AU76" s="238"/>
      <c r="AV76" s="238"/>
      <c r="AW76" s="238"/>
      <c r="AX76" s="238"/>
      <c r="AY76" s="238"/>
    </row>
    <row r="77" spans="1:51" s="7" customFormat="1" ht="45" customHeight="1" x14ac:dyDescent="0.2">
      <c r="A77" s="295"/>
      <c r="B77" s="298"/>
      <c r="C77" s="307"/>
      <c r="D77" s="306"/>
      <c r="E77" s="300"/>
      <c r="F77" s="57" t="str">
        <f t="shared" si="16"/>
        <v/>
      </c>
      <c r="G77" s="216" t="str">
        <f t="shared" si="17"/>
        <v xml:space="preserve">  </v>
      </c>
      <c r="H77" s="366" t="b">
        <f t="shared" si="18"/>
        <v>0</v>
      </c>
      <c r="I77" s="366" t="b">
        <f t="shared" si="19"/>
        <v>0</v>
      </c>
      <c r="J77" s="366" t="b">
        <f t="shared" si="20"/>
        <v>1</v>
      </c>
      <c r="K77" s="366"/>
      <c r="L77" s="366"/>
      <c r="M77" s="386" t="str">
        <f t="shared" si="21"/>
        <v/>
      </c>
      <c r="N77" s="366" t="b">
        <f t="shared" si="22"/>
        <v>0</v>
      </c>
      <c r="O77" s="367"/>
      <c r="P77" s="367"/>
      <c r="Q77" s="389" t="b">
        <f t="shared" si="23"/>
        <v>0</v>
      </c>
      <c r="R77" s="366" t="b">
        <f t="shared" si="24"/>
        <v>0</v>
      </c>
      <c r="S77" s="366" t="b">
        <f t="shared" si="25"/>
        <v>0</v>
      </c>
      <c r="T77" s="366" t="b">
        <f t="shared" si="28"/>
        <v>0</v>
      </c>
      <c r="U77" s="367"/>
      <c r="V77" s="366" t="b">
        <f t="shared" si="26"/>
        <v>0</v>
      </c>
      <c r="W77" s="367"/>
      <c r="X77" s="367"/>
      <c r="Y77" s="367"/>
      <c r="Z77" s="367"/>
      <c r="AA77" s="367"/>
      <c r="AB77" s="367"/>
      <c r="AC77" s="367"/>
      <c r="AD77" s="367"/>
      <c r="AE77" s="367"/>
      <c r="AF77" s="367"/>
      <c r="AG77" s="367"/>
      <c r="AH77" s="367"/>
      <c r="AI77" s="238"/>
      <c r="AJ77" s="238"/>
      <c r="AK77" s="238"/>
      <c r="AL77" s="238"/>
      <c r="AM77" s="238"/>
      <c r="AN77" s="238"/>
      <c r="AO77" s="238"/>
      <c r="AP77" s="238"/>
      <c r="AQ77" s="238"/>
      <c r="AR77" s="238"/>
      <c r="AS77" s="238"/>
      <c r="AT77" s="238"/>
      <c r="AU77" s="238"/>
      <c r="AV77" s="238"/>
      <c r="AW77" s="238"/>
      <c r="AX77" s="238"/>
      <c r="AY77" s="238"/>
    </row>
    <row r="78" spans="1:51" s="7" customFormat="1" ht="45" customHeight="1" x14ac:dyDescent="0.2">
      <c r="A78" s="295"/>
      <c r="B78" s="298"/>
      <c r="C78" s="307"/>
      <c r="D78" s="306"/>
      <c r="E78" s="300"/>
      <c r="F78" s="57" t="str">
        <f t="shared" si="16"/>
        <v/>
      </c>
      <c r="G78" s="216" t="str">
        <f t="shared" si="17"/>
        <v xml:space="preserve">  </v>
      </c>
      <c r="H78" s="366" t="b">
        <f t="shared" si="18"/>
        <v>0</v>
      </c>
      <c r="I78" s="366" t="b">
        <f t="shared" si="19"/>
        <v>0</v>
      </c>
      <c r="J78" s="366" t="b">
        <f t="shared" si="20"/>
        <v>1</v>
      </c>
      <c r="K78" s="366"/>
      <c r="L78" s="366"/>
      <c r="M78" s="386" t="str">
        <f t="shared" si="21"/>
        <v/>
      </c>
      <c r="N78" s="366" t="b">
        <f t="shared" si="22"/>
        <v>0</v>
      </c>
      <c r="O78" s="367"/>
      <c r="P78" s="367"/>
      <c r="Q78" s="389" t="b">
        <f t="shared" si="23"/>
        <v>0</v>
      </c>
      <c r="R78" s="366" t="b">
        <f t="shared" si="24"/>
        <v>0</v>
      </c>
      <c r="S78" s="366" t="b">
        <f t="shared" si="25"/>
        <v>0</v>
      </c>
      <c r="T78" s="366" t="b">
        <f t="shared" si="28"/>
        <v>0</v>
      </c>
      <c r="U78" s="367"/>
      <c r="V78" s="366" t="b">
        <f t="shared" si="26"/>
        <v>0</v>
      </c>
      <c r="W78" s="367"/>
      <c r="X78" s="367"/>
      <c r="Y78" s="367"/>
      <c r="Z78" s="367"/>
      <c r="AA78" s="367"/>
      <c r="AB78" s="367"/>
      <c r="AC78" s="367"/>
      <c r="AD78" s="367"/>
      <c r="AE78" s="367"/>
      <c r="AF78" s="367"/>
      <c r="AG78" s="367"/>
      <c r="AH78" s="367"/>
      <c r="AI78" s="238"/>
      <c r="AJ78" s="238"/>
      <c r="AK78" s="238"/>
      <c r="AL78" s="238"/>
      <c r="AM78" s="238"/>
      <c r="AN78" s="238"/>
      <c r="AO78" s="238"/>
      <c r="AP78" s="238"/>
      <c r="AQ78" s="238"/>
      <c r="AR78" s="238"/>
      <c r="AS78" s="238"/>
      <c r="AT78" s="238"/>
      <c r="AU78" s="238"/>
      <c r="AV78" s="238"/>
      <c r="AW78" s="238"/>
      <c r="AX78" s="238"/>
      <c r="AY78" s="238"/>
    </row>
    <row r="79" spans="1:51" s="7" customFormat="1" ht="45" customHeight="1" x14ac:dyDescent="0.2">
      <c r="A79" s="295"/>
      <c r="B79" s="298"/>
      <c r="C79" s="307"/>
      <c r="D79" s="306"/>
      <c r="E79" s="300"/>
      <c r="F79" s="57" t="str">
        <f t="shared" si="16"/>
        <v/>
      </c>
      <c r="G79" s="216" t="str">
        <f t="shared" si="17"/>
        <v xml:space="preserve">  </v>
      </c>
      <c r="H79" s="366" t="b">
        <f t="shared" si="18"/>
        <v>0</v>
      </c>
      <c r="I79" s="366" t="b">
        <f t="shared" si="19"/>
        <v>0</v>
      </c>
      <c r="J79" s="366" t="b">
        <f t="shared" si="20"/>
        <v>1</v>
      </c>
      <c r="K79" s="366"/>
      <c r="L79" s="366"/>
      <c r="M79" s="386" t="str">
        <f t="shared" si="21"/>
        <v/>
      </c>
      <c r="N79" s="366" t="b">
        <f t="shared" si="22"/>
        <v>0</v>
      </c>
      <c r="O79" s="367"/>
      <c r="P79" s="367"/>
      <c r="Q79" s="389" t="b">
        <f t="shared" si="23"/>
        <v>0</v>
      </c>
      <c r="R79" s="366" t="b">
        <f t="shared" si="24"/>
        <v>0</v>
      </c>
      <c r="S79" s="366" t="b">
        <f t="shared" si="25"/>
        <v>0</v>
      </c>
      <c r="T79" s="366" t="b">
        <f t="shared" si="28"/>
        <v>0</v>
      </c>
      <c r="U79" s="367"/>
      <c r="V79" s="366" t="b">
        <f t="shared" si="26"/>
        <v>0</v>
      </c>
      <c r="W79" s="367"/>
      <c r="X79" s="367"/>
      <c r="Y79" s="367"/>
      <c r="Z79" s="367"/>
      <c r="AA79" s="367"/>
      <c r="AB79" s="367"/>
      <c r="AC79" s="367"/>
      <c r="AD79" s="367"/>
      <c r="AE79" s="367"/>
      <c r="AF79" s="367"/>
      <c r="AG79" s="367"/>
      <c r="AH79" s="367"/>
      <c r="AI79" s="238"/>
      <c r="AJ79" s="238"/>
      <c r="AK79" s="238"/>
      <c r="AL79" s="238"/>
      <c r="AM79" s="238"/>
      <c r="AN79" s="238"/>
      <c r="AO79" s="238"/>
      <c r="AP79" s="238"/>
      <c r="AQ79" s="238"/>
      <c r="AR79" s="238"/>
      <c r="AS79" s="238"/>
      <c r="AT79" s="238"/>
      <c r="AU79" s="238"/>
      <c r="AV79" s="238"/>
      <c r="AW79" s="238"/>
      <c r="AX79" s="238"/>
      <c r="AY79" s="238"/>
    </row>
    <row r="80" spans="1:51" s="7" customFormat="1" ht="45" customHeight="1" x14ac:dyDescent="0.2">
      <c r="A80" s="295"/>
      <c r="B80" s="298"/>
      <c r="C80" s="307"/>
      <c r="D80" s="306"/>
      <c r="E80" s="300"/>
      <c r="F80" s="57" t="str">
        <f t="shared" ref="F80:F102" si="29">IF(E80="","",IF(OR(I80=TRUE,J80=TRUE,V80=TRUE),"0",ROUND(D80*0.1667,2)))</f>
        <v/>
      </c>
      <c r="G80" s="216" t="str">
        <f t="shared" ref="G80:G102" si="30">IF(B80="","",IF(J80=TRUE,"Dates entered are not consistent with your CM cycle start and stop dates. ","")&amp;IF(I80=TRUE,"A minimum of 1 hour is required for this CM Area. ","")&amp;IF(N80=TRUE,"The contact hours may be right but they seem inconsistent with the Start and Completion Dates. ","")&amp;IF(V80=TRUE,"First Aid and CPR classes are not eligible for CM Credit. ","")&amp;IF(T80=TRUE,"36 hrs or more means that you attended every technical session, i.e. no breaks, no vendor time, no lunches, no networking, no social,etc. ",""))&amp;"  "&amp;IF(Q80=TRUE,"You are missing the dates for your CM points. ","")</f>
        <v xml:space="preserve">  </v>
      </c>
      <c r="H80" s="366" t="b">
        <f t="shared" ref="H80:H102" si="31">OR(E80="Product Stewardship",E80="Ethics",E80="Management/Leadership")</f>
        <v>0</v>
      </c>
      <c r="I80" s="366" t="b">
        <f t="shared" ref="I80:I102" si="32">AND(H80=TRUE,D80&gt;0,D80&lt;0.25)</f>
        <v>0</v>
      </c>
      <c r="J80" s="366" t="b">
        <f t="shared" ref="J80:J102" si="33">OR(A80&gt;CMEND,B80&lt;CMSTART,B80&gt;CMEND,B80&lt;A80)</f>
        <v>1</v>
      </c>
      <c r="K80" s="366"/>
      <c r="L80" s="366"/>
      <c r="M80" s="386" t="str">
        <f t="shared" ref="M80:M102" si="34">IF(OR(A80="",B80="",D80=""),"",(B80-A80+1)*8)</f>
        <v/>
      </c>
      <c r="N80" s="366" t="b">
        <f t="shared" ref="N80:N102" si="35">IF(M80="",FALSE,AND(D80/M80&gt;1.2))</f>
        <v>0</v>
      </c>
      <c r="O80" s="367"/>
      <c r="P80" s="367"/>
      <c r="Q80" s="389" t="b">
        <f t="shared" ref="Q80:Q111" si="36">IF(AND(OR(A80="",B80=""),NOT(F80="")),TRUE,FALSE)</f>
        <v>0</v>
      </c>
      <c r="R80" s="366" t="b">
        <f t="shared" ref="R80:R102" si="37">OR(ISNUMBER(SEARCH("AIHce",C80)),AND(ISNUMBER(SEARCH("AIHA",C80)),ISNUMBER(SEARCH("conference",C80))))</f>
        <v>0</v>
      </c>
      <c r="S80" s="366" t="b">
        <f t="shared" ref="S80:S102" si="38">AND(D80&gt;=36)</f>
        <v>0</v>
      </c>
      <c r="T80" s="366" t="b">
        <f t="shared" si="28"/>
        <v>0</v>
      </c>
      <c r="U80" s="367"/>
      <c r="V80" s="366" t="b">
        <f t="shared" ref="V80:V102" si="39">OR(ISNUMBER(SEARCH("First Aid",C80)),ISNUMBER(SEARCH("CPR",C80)))</f>
        <v>0</v>
      </c>
      <c r="W80" s="367"/>
      <c r="X80" s="367"/>
      <c r="Y80" s="367"/>
      <c r="Z80" s="367"/>
      <c r="AA80" s="367"/>
      <c r="AB80" s="367"/>
      <c r="AC80" s="367"/>
      <c r="AD80" s="367"/>
      <c r="AE80" s="367"/>
      <c r="AF80" s="367"/>
      <c r="AG80" s="367"/>
      <c r="AH80" s="367"/>
      <c r="AI80" s="238"/>
      <c r="AJ80" s="238"/>
      <c r="AK80" s="238"/>
      <c r="AL80" s="238"/>
      <c r="AM80" s="238"/>
      <c r="AN80" s="238"/>
      <c r="AO80" s="238"/>
      <c r="AP80" s="238"/>
      <c r="AQ80" s="238"/>
      <c r="AR80" s="238"/>
      <c r="AS80" s="238"/>
      <c r="AT80" s="238"/>
      <c r="AU80" s="238"/>
      <c r="AV80" s="238"/>
      <c r="AW80" s="238"/>
      <c r="AX80" s="238"/>
      <c r="AY80" s="238"/>
    </row>
    <row r="81" spans="1:51" s="7" customFormat="1" ht="45" customHeight="1" x14ac:dyDescent="0.2">
      <c r="A81" s="295"/>
      <c r="B81" s="298"/>
      <c r="C81" s="307"/>
      <c r="D81" s="306"/>
      <c r="E81" s="300"/>
      <c r="F81" s="57" t="str">
        <f t="shared" si="29"/>
        <v/>
      </c>
      <c r="G81" s="216" t="str">
        <f t="shared" si="30"/>
        <v xml:space="preserve">  </v>
      </c>
      <c r="H81" s="366" t="b">
        <f t="shared" si="31"/>
        <v>0</v>
      </c>
      <c r="I81" s="366" t="b">
        <f t="shared" si="32"/>
        <v>0</v>
      </c>
      <c r="J81" s="366" t="b">
        <f t="shared" si="33"/>
        <v>1</v>
      </c>
      <c r="K81" s="366"/>
      <c r="L81" s="366"/>
      <c r="M81" s="386" t="str">
        <f t="shared" si="34"/>
        <v/>
      </c>
      <c r="N81" s="366" t="b">
        <f t="shared" si="35"/>
        <v>0</v>
      </c>
      <c r="O81" s="367"/>
      <c r="P81" s="367"/>
      <c r="Q81" s="389" t="b">
        <f t="shared" si="36"/>
        <v>0</v>
      </c>
      <c r="R81" s="366" t="b">
        <f t="shared" si="37"/>
        <v>0</v>
      </c>
      <c r="S81" s="366" t="b">
        <f t="shared" si="38"/>
        <v>0</v>
      </c>
      <c r="T81" s="366" t="b">
        <f t="shared" si="28"/>
        <v>0</v>
      </c>
      <c r="U81" s="367"/>
      <c r="V81" s="366" t="b">
        <f t="shared" si="39"/>
        <v>0</v>
      </c>
      <c r="W81" s="367"/>
      <c r="X81" s="367"/>
      <c r="Y81" s="367"/>
      <c r="Z81" s="367"/>
      <c r="AA81" s="367"/>
      <c r="AB81" s="367"/>
      <c r="AC81" s="367"/>
      <c r="AD81" s="367"/>
      <c r="AE81" s="367"/>
      <c r="AF81" s="367"/>
      <c r="AG81" s="367"/>
      <c r="AH81" s="367"/>
      <c r="AI81" s="238"/>
      <c r="AJ81" s="238"/>
      <c r="AK81" s="238"/>
      <c r="AL81" s="238"/>
      <c r="AM81" s="238"/>
      <c r="AN81" s="238"/>
      <c r="AO81" s="238"/>
      <c r="AP81" s="238"/>
      <c r="AQ81" s="238"/>
      <c r="AR81" s="238"/>
      <c r="AS81" s="238"/>
      <c r="AT81" s="238"/>
      <c r="AU81" s="238"/>
      <c r="AV81" s="238"/>
      <c r="AW81" s="238"/>
      <c r="AX81" s="238"/>
      <c r="AY81" s="238"/>
    </row>
    <row r="82" spans="1:51" s="7" customFormat="1" ht="45" customHeight="1" x14ac:dyDescent="0.2">
      <c r="A82" s="295"/>
      <c r="B82" s="298"/>
      <c r="C82" s="307"/>
      <c r="D82" s="306"/>
      <c r="E82" s="300"/>
      <c r="F82" s="57" t="str">
        <f t="shared" si="29"/>
        <v/>
      </c>
      <c r="G82" s="216" t="str">
        <f t="shared" si="30"/>
        <v xml:space="preserve">  </v>
      </c>
      <c r="H82" s="366" t="b">
        <f t="shared" si="31"/>
        <v>0</v>
      </c>
      <c r="I82" s="366" t="b">
        <f t="shared" si="32"/>
        <v>0</v>
      </c>
      <c r="J82" s="366" t="b">
        <f t="shared" si="33"/>
        <v>1</v>
      </c>
      <c r="K82" s="366"/>
      <c r="L82" s="366"/>
      <c r="M82" s="386" t="str">
        <f t="shared" si="34"/>
        <v/>
      </c>
      <c r="N82" s="366" t="b">
        <f t="shared" si="35"/>
        <v>0</v>
      </c>
      <c r="O82" s="367"/>
      <c r="P82" s="367"/>
      <c r="Q82" s="389" t="b">
        <f t="shared" si="36"/>
        <v>0</v>
      </c>
      <c r="R82" s="366" t="b">
        <f t="shared" si="37"/>
        <v>0</v>
      </c>
      <c r="S82" s="366" t="b">
        <f t="shared" si="38"/>
        <v>0</v>
      </c>
      <c r="T82" s="366" t="b">
        <f t="shared" si="28"/>
        <v>0</v>
      </c>
      <c r="U82" s="367"/>
      <c r="V82" s="366" t="b">
        <f t="shared" si="39"/>
        <v>0</v>
      </c>
      <c r="W82" s="367"/>
      <c r="X82" s="367"/>
      <c r="Y82" s="367"/>
      <c r="Z82" s="367"/>
      <c r="AA82" s="367"/>
      <c r="AB82" s="367"/>
      <c r="AC82" s="367"/>
      <c r="AD82" s="367"/>
      <c r="AE82" s="367"/>
      <c r="AF82" s="367"/>
      <c r="AG82" s="367"/>
      <c r="AH82" s="367"/>
      <c r="AI82" s="238"/>
      <c r="AJ82" s="238"/>
      <c r="AK82" s="238"/>
      <c r="AL82" s="238"/>
      <c r="AM82" s="238"/>
      <c r="AN82" s="238"/>
      <c r="AO82" s="238"/>
      <c r="AP82" s="238"/>
      <c r="AQ82" s="238"/>
      <c r="AR82" s="238"/>
      <c r="AS82" s="238"/>
      <c r="AT82" s="238"/>
      <c r="AU82" s="238"/>
      <c r="AV82" s="238"/>
      <c r="AW82" s="238"/>
      <c r="AX82" s="238"/>
      <c r="AY82" s="238"/>
    </row>
    <row r="83" spans="1:51" s="7" customFormat="1" ht="45" customHeight="1" x14ac:dyDescent="0.2">
      <c r="A83" s="295"/>
      <c r="B83" s="298"/>
      <c r="C83" s="307"/>
      <c r="D83" s="306"/>
      <c r="E83" s="300"/>
      <c r="F83" s="57" t="str">
        <f t="shared" si="29"/>
        <v/>
      </c>
      <c r="G83" s="216" t="str">
        <f t="shared" si="30"/>
        <v xml:space="preserve">  </v>
      </c>
      <c r="H83" s="366" t="b">
        <f t="shared" si="31"/>
        <v>0</v>
      </c>
      <c r="I83" s="366" t="b">
        <f t="shared" si="32"/>
        <v>0</v>
      </c>
      <c r="J83" s="366" t="b">
        <f t="shared" si="33"/>
        <v>1</v>
      </c>
      <c r="K83" s="366"/>
      <c r="L83" s="366"/>
      <c r="M83" s="386" t="str">
        <f t="shared" si="34"/>
        <v/>
      </c>
      <c r="N83" s="366" t="b">
        <f t="shared" si="35"/>
        <v>0</v>
      </c>
      <c r="O83" s="367"/>
      <c r="P83" s="367"/>
      <c r="Q83" s="389" t="b">
        <f t="shared" si="36"/>
        <v>0</v>
      </c>
      <c r="R83" s="366" t="b">
        <f t="shared" si="37"/>
        <v>0</v>
      </c>
      <c r="S83" s="366" t="b">
        <f t="shared" si="38"/>
        <v>0</v>
      </c>
      <c r="T83" s="366" t="b">
        <f t="shared" si="28"/>
        <v>0</v>
      </c>
      <c r="U83" s="367"/>
      <c r="V83" s="366" t="b">
        <f t="shared" si="39"/>
        <v>0</v>
      </c>
      <c r="W83" s="367"/>
      <c r="X83" s="367"/>
      <c r="Y83" s="367"/>
      <c r="Z83" s="367"/>
      <c r="AA83" s="367"/>
      <c r="AB83" s="367"/>
      <c r="AC83" s="367"/>
      <c r="AD83" s="367"/>
      <c r="AE83" s="367"/>
      <c r="AF83" s="367"/>
      <c r="AG83" s="367"/>
      <c r="AH83" s="367"/>
      <c r="AI83" s="238"/>
      <c r="AJ83" s="238"/>
      <c r="AK83" s="238"/>
      <c r="AL83" s="238"/>
      <c r="AM83" s="238"/>
      <c r="AN83" s="238"/>
      <c r="AO83" s="238"/>
      <c r="AP83" s="238"/>
      <c r="AQ83" s="238"/>
      <c r="AR83" s="238"/>
      <c r="AS83" s="238"/>
      <c r="AT83" s="238"/>
      <c r="AU83" s="238"/>
      <c r="AV83" s="238"/>
      <c r="AW83" s="238"/>
      <c r="AX83" s="238"/>
      <c r="AY83" s="238"/>
    </row>
    <row r="84" spans="1:51" s="7" customFormat="1" ht="45" customHeight="1" x14ac:dyDescent="0.2">
      <c r="A84" s="295"/>
      <c r="B84" s="298"/>
      <c r="C84" s="307"/>
      <c r="D84" s="306"/>
      <c r="E84" s="300"/>
      <c r="F84" s="57" t="str">
        <f t="shared" si="29"/>
        <v/>
      </c>
      <c r="G84" s="216" t="str">
        <f t="shared" si="30"/>
        <v xml:space="preserve">  </v>
      </c>
      <c r="H84" s="366" t="b">
        <f t="shared" si="31"/>
        <v>0</v>
      </c>
      <c r="I84" s="366" t="b">
        <f t="shared" si="32"/>
        <v>0</v>
      </c>
      <c r="J84" s="366" t="b">
        <f t="shared" si="33"/>
        <v>1</v>
      </c>
      <c r="K84" s="366"/>
      <c r="L84" s="366"/>
      <c r="M84" s="386" t="str">
        <f t="shared" si="34"/>
        <v/>
      </c>
      <c r="N84" s="366" t="b">
        <f t="shared" si="35"/>
        <v>0</v>
      </c>
      <c r="O84" s="367"/>
      <c r="P84" s="367"/>
      <c r="Q84" s="389" t="b">
        <f t="shared" si="36"/>
        <v>0</v>
      </c>
      <c r="R84" s="366" t="b">
        <f t="shared" si="37"/>
        <v>0</v>
      </c>
      <c r="S84" s="366" t="b">
        <f t="shared" si="38"/>
        <v>0</v>
      </c>
      <c r="T84" s="366" t="b">
        <f t="shared" si="28"/>
        <v>0</v>
      </c>
      <c r="U84" s="367"/>
      <c r="V84" s="366" t="b">
        <f t="shared" si="39"/>
        <v>0</v>
      </c>
      <c r="W84" s="367"/>
      <c r="X84" s="367"/>
      <c r="Y84" s="367"/>
      <c r="Z84" s="367"/>
      <c r="AA84" s="367"/>
      <c r="AB84" s="367"/>
      <c r="AC84" s="367"/>
      <c r="AD84" s="367"/>
      <c r="AE84" s="367"/>
      <c r="AF84" s="367"/>
      <c r="AG84" s="367"/>
      <c r="AH84" s="367"/>
      <c r="AI84" s="238"/>
      <c r="AJ84" s="238"/>
      <c r="AK84" s="238"/>
      <c r="AL84" s="238"/>
      <c r="AM84" s="238"/>
      <c r="AN84" s="238"/>
      <c r="AO84" s="238"/>
      <c r="AP84" s="238"/>
      <c r="AQ84" s="238"/>
      <c r="AR84" s="238"/>
      <c r="AS84" s="238"/>
      <c r="AT84" s="238"/>
      <c r="AU84" s="238"/>
      <c r="AV84" s="238"/>
      <c r="AW84" s="238"/>
      <c r="AX84" s="238"/>
      <c r="AY84" s="238"/>
    </row>
    <row r="85" spans="1:51" s="7" customFormat="1" ht="45" customHeight="1" x14ac:dyDescent="0.2">
      <c r="A85" s="295"/>
      <c r="B85" s="298"/>
      <c r="C85" s="307"/>
      <c r="D85" s="306"/>
      <c r="E85" s="300"/>
      <c r="F85" s="57" t="str">
        <f t="shared" si="29"/>
        <v/>
      </c>
      <c r="G85" s="216" t="str">
        <f t="shared" si="30"/>
        <v xml:space="preserve">  </v>
      </c>
      <c r="H85" s="366" t="b">
        <f t="shared" si="31"/>
        <v>0</v>
      </c>
      <c r="I85" s="366" t="b">
        <f t="shared" si="32"/>
        <v>0</v>
      </c>
      <c r="J85" s="366" t="b">
        <f t="shared" si="33"/>
        <v>1</v>
      </c>
      <c r="K85" s="366"/>
      <c r="L85" s="366"/>
      <c r="M85" s="386" t="str">
        <f t="shared" si="34"/>
        <v/>
      </c>
      <c r="N85" s="366" t="b">
        <f t="shared" si="35"/>
        <v>0</v>
      </c>
      <c r="O85" s="367"/>
      <c r="P85" s="367"/>
      <c r="Q85" s="389" t="b">
        <f t="shared" si="36"/>
        <v>0</v>
      </c>
      <c r="R85" s="366" t="b">
        <f t="shared" si="37"/>
        <v>0</v>
      </c>
      <c r="S85" s="366" t="b">
        <f t="shared" si="38"/>
        <v>0</v>
      </c>
      <c r="T85" s="366" t="b">
        <f t="shared" si="28"/>
        <v>0</v>
      </c>
      <c r="U85" s="367"/>
      <c r="V85" s="366" t="b">
        <f t="shared" si="39"/>
        <v>0</v>
      </c>
      <c r="W85" s="367"/>
      <c r="X85" s="367"/>
      <c r="Y85" s="367"/>
      <c r="Z85" s="367"/>
      <c r="AA85" s="367"/>
      <c r="AB85" s="367"/>
      <c r="AC85" s="367"/>
      <c r="AD85" s="367"/>
      <c r="AE85" s="367"/>
      <c r="AF85" s="367"/>
      <c r="AG85" s="367"/>
      <c r="AH85" s="367"/>
      <c r="AI85" s="238"/>
      <c r="AJ85" s="238"/>
      <c r="AK85" s="238"/>
      <c r="AL85" s="238"/>
      <c r="AM85" s="238"/>
      <c r="AN85" s="238"/>
      <c r="AO85" s="238"/>
      <c r="AP85" s="238"/>
      <c r="AQ85" s="238"/>
      <c r="AR85" s="238"/>
      <c r="AS85" s="238"/>
      <c r="AT85" s="238"/>
      <c r="AU85" s="238"/>
      <c r="AV85" s="238"/>
      <c r="AW85" s="238"/>
      <c r="AX85" s="238"/>
      <c r="AY85" s="238"/>
    </row>
    <row r="86" spans="1:51" s="7" customFormat="1" ht="45" customHeight="1" x14ac:dyDescent="0.2">
      <c r="A86" s="295"/>
      <c r="B86" s="298"/>
      <c r="C86" s="307"/>
      <c r="D86" s="306"/>
      <c r="E86" s="300"/>
      <c r="F86" s="57" t="str">
        <f t="shared" si="29"/>
        <v/>
      </c>
      <c r="G86" s="216" t="str">
        <f t="shared" si="30"/>
        <v xml:space="preserve">  </v>
      </c>
      <c r="H86" s="366" t="b">
        <f t="shared" si="31"/>
        <v>0</v>
      </c>
      <c r="I86" s="366" t="b">
        <f t="shared" si="32"/>
        <v>0</v>
      </c>
      <c r="J86" s="366" t="b">
        <f t="shared" si="33"/>
        <v>1</v>
      </c>
      <c r="K86" s="366"/>
      <c r="L86" s="366"/>
      <c r="M86" s="386" t="str">
        <f t="shared" si="34"/>
        <v/>
      </c>
      <c r="N86" s="366" t="b">
        <f t="shared" si="35"/>
        <v>0</v>
      </c>
      <c r="O86" s="367"/>
      <c r="P86" s="367"/>
      <c r="Q86" s="389" t="b">
        <f t="shared" si="36"/>
        <v>0</v>
      </c>
      <c r="R86" s="366" t="b">
        <f t="shared" si="37"/>
        <v>0</v>
      </c>
      <c r="S86" s="366" t="b">
        <f t="shared" si="38"/>
        <v>0</v>
      </c>
      <c r="T86" s="366" t="b">
        <f t="shared" si="28"/>
        <v>0</v>
      </c>
      <c r="U86" s="367"/>
      <c r="V86" s="366" t="b">
        <f t="shared" si="39"/>
        <v>0</v>
      </c>
      <c r="W86" s="367"/>
      <c r="X86" s="367"/>
      <c r="Y86" s="367"/>
      <c r="Z86" s="367"/>
      <c r="AA86" s="367"/>
      <c r="AB86" s="367"/>
      <c r="AC86" s="367"/>
      <c r="AD86" s="367"/>
      <c r="AE86" s="367"/>
      <c r="AF86" s="367"/>
      <c r="AG86" s="367"/>
      <c r="AH86" s="367"/>
      <c r="AI86" s="238"/>
      <c r="AJ86" s="238"/>
      <c r="AK86" s="238"/>
      <c r="AL86" s="238"/>
      <c r="AM86" s="238"/>
      <c r="AN86" s="238"/>
      <c r="AO86" s="238"/>
      <c r="AP86" s="238"/>
      <c r="AQ86" s="238"/>
      <c r="AR86" s="238"/>
      <c r="AS86" s="238"/>
      <c r="AT86" s="238"/>
      <c r="AU86" s="238"/>
      <c r="AV86" s="238"/>
      <c r="AW86" s="238"/>
      <c r="AX86" s="238"/>
      <c r="AY86" s="238"/>
    </row>
    <row r="87" spans="1:51" s="7" customFormat="1" ht="45" customHeight="1" x14ac:dyDescent="0.2">
      <c r="A87" s="295"/>
      <c r="B87" s="298"/>
      <c r="C87" s="307"/>
      <c r="D87" s="306"/>
      <c r="E87" s="300"/>
      <c r="F87" s="57" t="str">
        <f t="shared" si="29"/>
        <v/>
      </c>
      <c r="G87" s="216" t="str">
        <f t="shared" si="30"/>
        <v xml:space="preserve">  </v>
      </c>
      <c r="H87" s="366" t="b">
        <f t="shared" si="31"/>
        <v>0</v>
      </c>
      <c r="I87" s="366" t="b">
        <f t="shared" si="32"/>
        <v>0</v>
      </c>
      <c r="J87" s="366" t="b">
        <f t="shared" si="33"/>
        <v>1</v>
      </c>
      <c r="K87" s="366"/>
      <c r="L87" s="366"/>
      <c r="M87" s="386" t="str">
        <f t="shared" si="34"/>
        <v/>
      </c>
      <c r="N87" s="366" t="b">
        <f t="shared" si="35"/>
        <v>0</v>
      </c>
      <c r="O87" s="367"/>
      <c r="P87" s="367"/>
      <c r="Q87" s="389" t="b">
        <f t="shared" si="36"/>
        <v>0</v>
      </c>
      <c r="R87" s="366" t="b">
        <f t="shared" si="37"/>
        <v>0</v>
      </c>
      <c r="S87" s="366" t="b">
        <f t="shared" si="38"/>
        <v>0</v>
      </c>
      <c r="T87" s="366" t="b">
        <f t="shared" si="28"/>
        <v>0</v>
      </c>
      <c r="U87" s="367"/>
      <c r="V87" s="366" t="b">
        <f t="shared" si="39"/>
        <v>0</v>
      </c>
      <c r="W87" s="367"/>
      <c r="X87" s="367"/>
      <c r="Y87" s="367"/>
      <c r="Z87" s="367"/>
      <c r="AA87" s="367"/>
      <c r="AB87" s="367"/>
      <c r="AC87" s="367"/>
      <c r="AD87" s="367"/>
      <c r="AE87" s="367"/>
      <c r="AF87" s="367"/>
      <c r="AG87" s="367"/>
      <c r="AH87" s="367"/>
      <c r="AI87" s="238"/>
      <c r="AJ87" s="238"/>
      <c r="AK87" s="238"/>
      <c r="AL87" s="238"/>
      <c r="AM87" s="238"/>
      <c r="AN87" s="238"/>
      <c r="AO87" s="238"/>
      <c r="AP87" s="238"/>
      <c r="AQ87" s="238"/>
      <c r="AR87" s="238"/>
      <c r="AS87" s="238"/>
      <c r="AT87" s="238"/>
      <c r="AU87" s="238"/>
      <c r="AV87" s="238"/>
      <c r="AW87" s="238"/>
      <c r="AX87" s="238"/>
      <c r="AY87" s="238"/>
    </row>
    <row r="88" spans="1:51" s="7" customFormat="1" ht="45" customHeight="1" x14ac:dyDescent="0.2">
      <c r="A88" s="295"/>
      <c r="B88" s="298"/>
      <c r="C88" s="307"/>
      <c r="D88" s="306"/>
      <c r="E88" s="300"/>
      <c r="F88" s="57" t="str">
        <f t="shared" si="29"/>
        <v/>
      </c>
      <c r="G88" s="216" t="str">
        <f t="shared" si="30"/>
        <v xml:space="preserve">  </v>
      </c>
      <c r="H88" s="366" t="b">
        <f t="shared" si="31"/>
        <v>0</v>
      </c>
      <c r="I88" s="366" t="b">
        <f t="shared" si="32"/>
        <v>0</v>
      </c>
      <c r="J88" s="366" t="b">
        <f t="shared" si="33"/>
        <v>1</v>
      </c>
      <c r="K88" s="366"/>
      <c r="L88" s="366"/>
      <c r="M88" s="386" t="str">
        <f t="shared" si="34"/>
        <v/>
      </c>
      <c r="N88" s="366" t="b">
        <f t="shared" si="35"/>
        <v>0</v>
      </c>
      <c r="O88" s="367"/>
      <c r="P88" s="367"/>
      <c r="Q88" s="389" t="b">
        <f t="shared" si="36"/>
        <v>0</v>
      </c>
      <c r="R88" s="366" t="b">
        <f t="shared" si="37"/>
        <v>0</v>
      </c>
      <c r="S88" s="366" t="b">
        <f t="shared" si="38"/>
        <v>0</v>
      </c>
      <c r="T88" s="366" t="b">
        <f t="shared" si="28"/>
        <v>0</v>
      </c>
      <c r="U88" s="367"/>
      <c r="V88" s="366" t="b">
        <f t="shared" si="39"/>
        <v>0</v>
      </c>
      <c r="W88" s="367"/>
      <c r="X88" s="367"/>
      <c r="Y88" s="367"/>
      <c r="Z88" s="367"/>
      <c r="AA88" s="367"/>
      <c r="AB88" s="367"/>
      <c r="AC88" s="367"/>
      <c r="AD88" s="367"/>
      <c r="AE88" s="367"/>
      <c r="AF88" s="367"/>
      <c r="AG88" s="367"/>
      <c r="AH88" s="367"/>
      <c r="AI88" s="238"/>
      <c r="AJ88" s="238"/>
      <c r="AK88" s="238"/>
      <c r="AL88" s="238"/>
      <c r="AM88" s="238"/>
      <c r="AN88" s="238"/>
      <c r="AO88" s="238"/>
      <c r="AP88" s="238"/>
      <c r="AQ88" s="238"/>
      <c r="AR88" s="238"/>
      <c r="AS88" s="238"/>
      <c r="AT88" s="238"/>
      <c r="AU88" s="238"/>
      <c r="AV88" s="238"/>
      <c r="AW88" s="238"/>
      <c r="AX88" s="238"/>
      <c r="AY88" s="238"/>
    </row>
    <row r="89" spans="1:51" s="7" customFormat="1" ht="45" customHeight="1" x14ac:dyDescent="0.2">
      <c r="A89" s="295"/>
      <c r="B89" s="298"/>
      <c r="C89" s="307"/>
      <c r="D89" s="306"/>
      <c r="E89" s="300"/>
      <c r="F89" s="57" t="str">
        <f t="shared" si="29"/>
        <v/>
      </c>
      <c r="G89" s="216" t="str">
        <f t="shared" si="30"/>
        <v xml:space="preserve">  </v>
      </c>
      <c r="H89" s="366" t="b">
        <f t="shared" si="31"/>
        <v>0</v>
      </c>
      <c r="I89" s="366" t="b">
        <f t="shared" si="32"/>
        <v>0</v>
      </c>
      <c r="J89" s="366" t="b">
        <f t="shared" si="33"/>
        <v>1</v>
      </c>
      <c r="K89" s="366"/>
      <c r="L89" s="366"/>
      <c r="M89" s="386" t="str">
        <f t="shared" si="34"/>
        <v/>
      </c>
      <c r="N89" s="366" t="b">
        <f t="shared" si="35"/>
        <v>0</v>
      </c>
      <c r="O89" s="367"/>
      <c r="P89" s="367"/>
      <c r="Q89" s="389" t="b">
        <f t="shared" si="36"/>
        <v>0</v>
      </c>
      <c r="R89" s="366" t="b">
        <f t="shared" si="37"/>
        <v>0</v>
      </c>
      <c r="S89" s="366" t="b">
        <f t="shared" si="38"/>
        <v>0</v>
      </c>
      <c r="T89" s="366" t="b">
        <f t="shared" si="28"/>
        <v>0</v>
      </c>
      <c r="U89" s="367"/>
      <c r="V89" s="366" t="b">
        <f t="shared" si="39"/>
        <v>0</v>
      </c>
      <c r="W89" s="367"/>
      <c r="X89" s="367"/>
      <c r="Y89" s="367"/>
      <c r="Z89" s="367"/>
      <c r="AA89" s="367"/>
      <c r="AB89" s="367"/>
      <c r="AC89" s="367"/>
      <c r="AD89" s="367"/>
      <c r="AE89" s="367"/>
      <c r="AF89" s="367"/>
      <c r="AG89" s="367"/>
      <c r="AH89" s="367"/>
      <c r="AI89" s="238"/>
      <c r="AJ89" s="238"/>
      <c r="AK89" s="238"/>
      <c r="AL89" s="238"/>
      <c r="AM89" s="238"/>
      <c r="AN89" s="238"/>
      <c r="AO89" s="238"/>
      <c r="AP89" s="238"/>
      <c r="AQ89" s="238"/>
      <c r="AR89" s="238"/>
      <c r="AS89" s="238"/>
      <c r="AT89" s="238"/>
      <c r="AU89" s="238"/>
      <c r="AV89" s="238"/>
      <c r="AW89" s="238"/>
      <c r="AX89" s="238"/>
      <c r="AY89" s="238"/>
    </row>
    <row r="90" spans="1:51" s="7" customFormat="1" ht="45" customHeight="1" x14ac:dyDescent="0.2">
      <c r="A90" s="295"/>
      <c r="B90" s="298"/>
      <c r="C90" s="307"/>
      <c r="D90" s="306"/>
      <c r="E90" s="300"/>
      <c r="F90" s="57" t="str">
        <f t="shared" si="29"/>
        <v/>
      </c>
      <c r="G90" s="216" t="str">
        <f t="shared" si="30"/>
        <v xml:space="preserve">  </v>
      </c>
      <c r="H90" s="366" t="b">
        <f t="shared" si="31"/>
        <v>0</v>
      </c>
      <c r="I90" s="366" t="b">
        <f t="shared" si="32"/>
        <v>0</v>
      </c>
      <c r="J90" s="366" t="b">
        <f t="shared" si="33"/>
        <v>1</v>
      </c>
      <c r="K90" s="366"/>
      <c r="L90" s="366"/>
      <c r="M90" s="386" t="str">
        <f t="shared" si="34"/>
        <v/>
      </c>
      <c r="N90" s="366" t="b">
        <f t="shared" si="35"/>
        <v>0</v>
      </c>
      <c r="O90" s="367"/>
      <c r="P90" s="367"/>
      <c r="Q90" s="389" t="b">
        <f t="shared" si="36"/>
        <v>0</v>
      </c>
      <c r="R90" s="366" t="b">
        <f t="shared" si="37"/>
        <v>0</v>
      </c>
      <c r="S90" s="366" t="b">
        <f t="shared" si="38"/>
        <v>0</v>
      </c>
      <c r="T90" s="366" t="b">
        <f t="shared" si="28"/>
        <v>0</v>
      </c>
      <c r="U90" s="367"/>
      <c r="V90" s="366" t="b">
        <f t="shared" si="39"/>
        <v>0</v>
      </c>
      <c r="W90" s="367"/>
      <c r="X90" s="367"/>
      <c r="Y90" s="367"/>
      <c r="Z90" s="367"/>
      <c r="AA90" s="367"/>
      <c r="AB90" s="367"/>
      <c r="AC90" s="367"/>
      <c r="AD90" s="367"/>
      <c r="AE90" s="367"/>
      <c r="AF90" s="367"/>
      <c r="AG90" s="367"/>
      <c r="AH90" s="367"/>
      <c r="AI90" s="238"/>
      <c r="AJ90" s="238"/>
      <c r="AK90" s="238"/>
      <c r="AL90" s="238"/>
      <c r="AM90" s="238"/>
      <c r="AN90" s="238"/>
      <c r="AO90" s="238"/>
      <c r="AP90" s="238"/>
      <c r="AQ90" s="238"/>
      <c r="AR90" s="238"/>
      <c r="AS90" s="238"/>
      <c r="AT90" s="238"/>
      <c r="AU90" s="238"/>
      <c r="AV90" s="238"/>
      <c r="AW90" s="238"/>
      <c r="AX90" s="238"/>
      <c r="AY90" s="238"/>
    </row>
    <row r="91" spans="1:51" s="7" customFormat="1" ht="45" customHeight="1" x14ac:dyDescent="0.2">
      <c r="A91" s="295"/>
      <c r="B91" s="298"/>
      <c r="C91" s="307"/>
      <c r="D91" s="306"/>
      <c r="E91" s="300"/>
      <c r="F91" s="57" t="str">
        <f t="shared" si="29"/>
        <v/>
      </c>
      <c r="G91" s="216" t="str">
        <f t="shared" si="30"/>
        <v xml:space="preserve">  </v>
      </c>
      <c r="H91" s="366" t="b">
        <f t="shared" si="31"/>
        <v>0</v>
      </c>
      <c r="I91" s="366" t="b">
        <f t="shared" si="32"/>
        <v>0</v>
      </c>
      <c r="J91" s="366" t="b">
        <f t="shared" si="33"/>
        <v>1</v>
      </c>
      <c r="K91" s="366"/>
      <c r="L91" s="366"/>
      <c r="M91" s="386" t="str">
        <f t="shared" si="34"/>
        <v/>
      </c>
      <c r="N91" s="366" t="b">
        <f t="shared" si="35"/>
        <v>0</v>
      </c>
      <c r="O91" s="367"/>
      <c r="P91" s="367"/>
      <c r="Q91" s="389" t="b">
        <f t="shared" si="36"/>
        <v>0</v>
      </c>
      <c r="R91" s="366" t="b">
        <f t="shared" si="37"/>
        <v>0</v>
      </c>
      <c r="S91" s="366" t="b">
        <f t="shared" si="38"/>
        <v>0</v>
      </c>
      <c r="T91" s="366" t="b">
        <f t="shared" si="28"/>
        <v>0</v>
      </c>
      <c r="U91" s="367"/>
      <c r="V91" s="366" t="b">
        <f t="shared" si="39"/>
        <v>0</v>
      </c>
      <c r="W91" s="367"/>
      <c r="X91" s="367"/>
      <c r="Y91" s="367"/>
      <c r="Z91" s="367"/>
      <c r="AA91" s="367"/>
      <c r="AB91" s="367"/>
      <c r="AC91" s="367"/>
      <c r="AD91" s="367"/>
      <c r="AE91" s="367"/>
      <c r="AF91" s="367"/>
      <c r="AG91" s="367"/>
      <c r="AH91" s="367"/>
      <c r="AI91" s="238"/>
      <c r="AJ91" s="238"/>
      <c r="AK91" s="238"/>
      <c r="AL91" s="238"/>
      <c r="AM91" s="238"/>
      <c r="AN91" s="238"/>
      <c r="AO91" s="238"/>
      <c r="AP91" s="238"/>
      <c r="AQ91" s="238"/>
      <c r="AR91" s="238"/>
      <c r="AS91" s="238"/>
      <c r="AT91" s="238"/>
      <c r="AU91" s="238"/>
      <c r="AV91" s="238"/>
      <c r="AW91" s="238"/>
      <c r="AX91" s="238"/>
      <c r="AY91" s="238"/>
    </row>
    <row r="92" spans="1:51" s="7" customFormat="1" ht="45" customHeight="1" x14ac:dyDescent="0.2">
      <c r="A92" s="295"/>
      <c r="B92" s="298"/>
      <c r="C92" s="307"/>
      <c r="D92" s="306"/>
      <c r="E92" s="300"/>
      <c r="F92" s="57" t="str">
        <f t="shared" si="29"/>
        <v/>
      </c>
      <c r="G92" s="216" t="str">
        <f t="shared" si="30"/>
        <v xml:space="preserve">  </v>
      </c>
      <c r="H92" s="366" t="b">
        <f t="shared" si="31"/>
        <v>0</v>
      </c>
      <c r="I92" s="366" t="b">
        <f t="shared" si="32"/>
        <v>0</v>
      </c>
      <c r="J92" s="366" t="b">
        <f t="shared" si="33"/>
        <v>1</v>
      </c>
      <c r="K92" s="366"/>
      <c r="L92" s="366"/>
      <c r="M92" s="386" t="str">
        <f t="shared" si="34"/>
        <v/>
      </c>
      <c r="N92" s="366" t="b">
        <f t="shared" si="35"/>
        <v>0</v>
      </c>
      <c r="O92" s="367"/>
      <c r="P92" s="367"/>
      <c r="Q92" s="389" t="b">
        <f t="shared" si="36"/>
        <v>0</v>
      </c>
      <c r="R92" s="366" t="b">
        <f t="shared" si="37"/>
        <v>0</v>
      </c>
      <c r="S92" s="366" t="b">
        <f t="shared" si="38"/>
        <v>0</v>
      </c>
      <c r="T92" s="366" t="b">
        <f t="shared" si="28"/>
        <v>0</v>
      </c>
      <c r="U92" s="367"/>
      <c r="V92" s="366" t="b">
        <f t="shared" si="39"/>
        <v>0</v>
      </c>
      <c r="W92" s="367"/>
      <c r="X92" s="367"/>
      <c r="Y92" s="367"/>
      <c r="Z92" s="367"/>
      <c r="AA92" s="367"/>
      <c r="AB92" s="367"/>
      <c r="AC92" s="367"/>
      <c r="AD92" s="367"/>
      <c r="AE92" s="367"/>
      <c r="AF92" s="367"/>
      <c r="AG92" s="367"/>
      <c r="AH92" s="367"/>
      <c r="AI92" s="238"/>
      <c r="AJ92" s="238"/>
      <c r="AK92" s="238"/>
      <c r="AL92" s="238"/>
      <c r="AM92" s="238"/>
      <c r="AN92" s="238"/>
      <c r="AO92" s="238"/>
      <c r="AP92" s="238"/>
      <c r="AQ92" s="238"/>
      <c r="AR92" s="238"/>
      <c r="AS92" s="238"/>
      <c r="AT92" s="238"/>
      <c r="AU92" s="238"/>
      <c r="AV92" s="238"/>
      <c r="AW92" s="238"/>
      <c r="AX92" s="238"/>
      <c r="AY92" s="238"/>
    </row>
    <row r="93" spans="1:51" s="7" customFormat="1" ht="45" customHeight="1" x14ac:dyDescent="0.2">
      <c r="A93" s="295"/>
      <c r="B93" s="298"/>
      <c r="C93" s="307"/>
      <c r="D93" s="306"/>
      <c r="E93" s="300"/>
      <c r="F93" s="57" t="str">
        <f t="shared" si="29"/>
        <v/>
      </c>
      <c r="G93" s="216" t="str">
        <f t="shared" si="30"/>
        <v xml:space="preserve">  </v>
      </c>
      <c r="H93" s="366" t="b">
        <f t="shared" si="31"/>
        <v>0</v>
      </c>
      <c r="I93" s="366" t="b">
        <f t="shared" si="32"/>
        <v>0</v>
      </c>
      <c r="J93" s="366" t="b">
        <f t="shared" si="33"/>
        <v>1</v>
      </c>
      <c r="K93" s="366"/>
      <c r="L93" s="366"/>
      <c r="M93" s="386" t="str">
        <f t="shared" si="34"/>
        <v/>
      </c>
      <c r="N93" s="366" t="b">
        <f t="shared" si="35"/>
        <v>0</v>
      </c>
      <c r="O93" s="367"/>
      <c r="P93" s="367"/>
      <c r="Q93" s="389" t="b">
        <f t="shared" si="36"/>
        <v>0</v>
      </c>
      <c r="R93" s="366" t="b">
        <f t="shared" si="37"/>
        <v>0</v>
      </c>
      <c r="S93" s="366" t="b">
        <f t="shared" si="38"/>
        <v>0</v>
      </c>
      <c r="T93" s="366" t="b">
        <f t="shared" si="28"/>
        <v>0</v>
      </c>
      <c r="U93" s="367"/>
      <c r="V93" s="366" t="b">
        <f t="shared" si="39"/>
        <v>0</v>
      </c>
      <c r="W93" s="367"/>
      <c r="X93" s="367"/>
      <c r="Y93" s="367"/>
      <c r="Z93" s="367"/>
      <c r="AA93" s="367"/>
      <c r="AB93" s="367"/>
      <c r="AC93" s="367"/>
      <c r="AD93" s="367"/>
      <c r="AE93" s="367"/>
      <c r="AF93" s="367"/>
      <c r="AG93" s="367"/>
      <c r="AH93" s="367"/>
      <c r="AI93" s="238"/>
      <c r="AJ93" s="238"/>
      <c r="AK93" s="238"/>
      <c r="AL93" s="238"/>
      <c r="AM93" s="238"/>
      <c r="AN93" s="238"/>
      <c r="AO93" s="238"/>
      <c r="AP93" s="238"/>
      <c r="AQ93" s="238"/>
      <c r="AR93" s="238"/>
      <c r="AS93" s="238"/>
      <c r="AT93" s="238"/>
      <c r="AU93" s="238"/>
      <c r="AV93" s="238"/>
      <c r="AW93" s="238"/>
      <c r="AX93" s="238"/>
      <c r="AY93" s="238"/>
    </row>
    <row r="94" spans="1:51" s="7" customFormat="1" ht="45" customHeight="1" x14ac:dyDescent="0.2">
      <c r="A94" s="295"/>
      <c r="B94" s="298"/>
      <c r="C94" s="307"/>
      <c r="D94" s="306"/>
      <c r="E94" s="300"/>
      <c r="F94" s="57" t="str">
        <f t="shared" si="29"/>
        <v/>
      </c>
      <c r="G94" s="216" t="str">
        <f t="shared" si="30"/>
        <v xml:space="preserve">  </v>
      </c>
      <c r="H94" s="366" t="b">
        <f t="shared" si="31"/>
        <v>0</v>
      </c>
      <c r="I94" s="366" t="b">
        <f t="shared" si="32"/>
        <v>0</v>
      </c>
      <c r="J94" s="366" t="b">
        <f t="shared" si="33"/>
        <v>1</v>
      </c>
      <c r="K94" s="366"/>
      <c r="L94" s="366"/>
      <c r="M94" s="386" t="str">
        <f t="shared" si="34"/>
        <v/>
      </c>
      <c r="N94" s="366" t="b">
        <f t="shared" si="35"/>
        <v>0</v>
      </c>
      <c r="O94" s="367"/>
      <c r="P94" s="367"/>
      <c r="Q94" s="389" t="b">
        <f t="shared" si="36"/>
        <v>0</v>
      </c>
      <c r="R94" s="366" t="b">
        <f t="shared" si="37"/>
        <v>0</v>
      </c>
      <c r="S94" s="366" t="b">
        <f t="shared" si="38"/>
        <v>0</v>
      </c>
      <c r="T94" s="366" t="b">
        <f t="shared" si="28"/>
        <v>0</v>
      </c>
      <c r="U94" s="367"/>
      <c r="V94" s="366" t="b">
        <f t="shared" si="39"/>
        <v>0</v>
      </c>
      <c r="W94" s="367"/>
      <c r="X94" s="367"/>
      <c r="Y94" s="367"/>
      <c r="Z94" s="367"/>
      <c r="AA94" s="367"/>
      <c r="AB94" s="367"/>
      <c r="AC94" s="367"/>
      <c r="AD94" s="367"/>
      <c r="AE94" s="367"/>
      <c r="AF94" s="367"/>
      <c r="AG94" s="367"/>
      <c r="AH94" s="367"/>
      <c r="AI94" s="238"/>
      <c r="AJ94" s="238"/>
      <c r="AK94" s="238"/>
      <c r="AL94" s="238"/>
      <c r="AM94" s="238"/>
      <c r="AN94" s="238"/>
      <c r="AO94" s="238"/>
      <c r="AP94" s="238"/>
      <c r="AQ94" s="238"/>
      <c r="AR94" s="238"/>
      <c r="AS94" s="238"/>
      <c r="AT94" s="238"/>
      <c r="AU94" s="238"/>
      <c r="AV94" s="238"/>
      <c r="AW94" s="238"/>
      <c r="AX94" s="238"/>
      <c r="AY94" s="238"/>
    </row>
    <row r="95" spans="1:51" s="7" customFormat="1" ht="45" customHeight="1" x14ac:dyDescent="0.2">
      <c r="A95" s="295"/>
      <c r="B95" s="298"/>
      <c r="C95" s="307"/>
      <c r="D95" s="306"/>
      <c r="E95" s="300"/>
      <c r="F95" s="57" t="str">
        <f t="shared" si="29"/>
        <v/>
      </c>
      <c r="G95" s="216" t="str">
        <f t="shared" si="30"/>
        <v xml:space="preserve">  </v>
      </c>
      <c r="H95" s="366" t="b">
        <f t="shared" si="31"/>
        <v>0</v>
      </c>
      <c r="I95" s="366" t="b">
        <f t="shared" si="32"/>
        <v>0</v>
      </c>
      <c r="J95" s="366" t="b">
        <f t="shared" si="33"/>
        <v>1</v>
      </c>
      <c r="K95" s="366"/>
      <c r="L95" s="366"/>
      <c r="M95" s="386" t="str">
        <f t="shared" si="34"/>
        <v/>
      </c>
      <c r="N95" s="366" t="b">
        <f t="shared" si="35"/>
        <v>0</v>
      </c>
      <c r="O95" s="367"/>
      <c r="P95" s="367"/>
      <c r="Q95" s="389" t="b">
        <f t="shared" si="36"/>
        <v>0</v>
      </c>
      <c r="R95" s="366" t="b">
        <f t="shared" si="37"/>
        <v>0</v>
      </c>
      <c r="S95" s="366" t="b">
        <f t="shared" si="38"/>
        <v>0</v>
      </c>
      <c r="T95" s="366" t="b">
        <f t="shared" si="28"/>
        <v>0</v>
      </c>
      <c r="U95" s="367"/>
      <c r="V95" s="366" t="b">
        <f t="shared" si="39"/>
        <v>0</v>
      </c>
      <c r="W95" s="367"/>
      <c r="X95" s="367"/>
      <c r="Y95" s="367"/>
      <c r="Z95" s="367"/>
      <c r="AA95" s="367"/>
      <c r="AB95" s="367"/>
      <c r="AC95" s="367"/>
      <c r="AD95" s="367"/>
      <c r="AE95" s="367"/>
      <c r="AF95" s="367"/>
      <c r="AG95" s="367"/>
      <c r="AH95" s="367"/>
      <c r="AI95" s="238"/>
      <c r="AJ95" s="238"/>
      <c r="AK95" s="238"/>
      <c r="AL95" s="238"/>
      <c r="AM95" s="238"/>
      <c r="AN95" s="238"/>
      <c r="AO95" s="238"/>
      <c r="AP95" s="238"/>
      <c r="AQ95" s="238"/>
      <c r="AR95" s="238"/>
      <c r="AS95" s="238"/>
      <c r="AT95" s="238"/>
      <c r="AU95" s="238"/>
      <c r="AV95" s="238"/>
      <c r="AW95" s="238"/>
      <c r="AX95" s="238"/>
      <c r="AY95" s="238"/>
    </row>
    <row r="96" spans="1:51" s="7" customFormat="1" ht="45" customHeight="1" x14ac:dyDescent="0.2">
      <c r="A96" s="295"/>
      <c r="B96" s="298"/>
      <c r="C96" s="307"/>
      <c r="D96" s="306"/>
      <c r="E96" s="300"/>
      <c r="F96" s="57" t="str">
        <f t="shared" si="29"/>
        <v/>
      </c>
      <c r="G96" s="216" t="str">
        <f t="shared" si="30"/>
        <v xml:space="preserve">  </v>
      </c>
      <c r="H96" s="366" t="b">
        <f t="shared" si="31"/>
        <v>0</v>
      </c>
      <c r="I96" s="366" t="b">
        <f t="shared" si="32"/>
        <v>0</v>
      </c>
      <c r="J96" s="366" t="b">
        <f t="shared" si="33"/>
        <v>1</v>
      </c>
      <c r="K96" s="366"/>
      <c r="L96" s="366"/>
      <c r="M96" s="386" t="str">
        <f t="shared" si="34"/>
        <v/>
      </c>
      <c r="N96" s="366" t="b">
        <f t="shared" si="35"/>
        <v>0</v>
      </c>
      <c r="O96" s="367"/>
      <c r="P96" s="367"/>
      <c r="Q96" s="389" t="b">
        <f t="shared" si="36"/>
        <v>0</v>
      </c>
      <c r="R96" s="366" t="b">
        <f t="shared" si="37"/>
        <v>0</v>
      </c>
      <c r="S96" s="366" t="b">
        <f t="shared" si="38"/>
        <v>0</v>
      </c>
      <c r="T96" s="366" t="b">
        <f t="shared" si="28"/>
        <v>0</v>
      </c>
      <c r="U96" s="367"/>
      <c r="V96" s="366" t="b">
        <f t="shared" si="39"/>
        <v>0</v>
      </c>
      <c r="W96" s="367"/>
      <c r="X96" s="367"/>
      <c r="Y96" s="367"/>
      <c r="Z96" s="367"/>
      <c r="AA96" s="367"/>
      <c r="AB96" s="367"/>
      <c r="AC96" s="367"/>
      <c r="AD96" s="367"/>
      <c r="AE96" s="367"/>
      <c r="AF96" s="367"/>
      <c r="AG96" s="367"/>
      <c r="AH96" s="367"/>
      <c r="AI96" s="238"/>
      <c r="AJ96" s="238"/>
      <c r="AK96" s="238"/>
      <c r="AL96" s="238"/>
      <c r="AM96" s="238"/>
      <c r="AN96" s="238"/>
      <c r="AO96" s="238"/>
      <c r="AP96" s="238"/>
      <c r="AQ96" s="238"/>
      <c r="AR96" s="238"/>
      <c r="AS96" s="238"/>
      <c r="AT96" s="238"/>
      <c r="AU96" s="238"/>
      <c r="AV96" s="238"/>
      <c r="AW96" s="238"/>
      <c r="AX96" s="238"/>
      <c r="AY96" s="238"/>
    </row>
    <row r="97" spans="1:51" s="7" customFormat="1" ht="45" customHeight="1" x14ac:dyDescent="0.2">
      <c r="A97" s="295"/>
      <c r="B97" s="298"/>
      <c r="C97" s="307"/>
      <c r="D97" s="306"/>
      <c r="E97" s="300"/>
      <c r="F97" s="57" t="str">
        <f t="shared" si="29"/>
        <v/>
      </c>
      <c r="G97" s="216" t="str">
        <f t="shared" si="30"/>
        <v xml:space="preserve">  </v>
      </c>
      <c r="H97" s="366" t="b">
        <f t="shared" si="31"/>
        <v>0</v>
      </c>
      <c r="I97" s="366" t="b">
        <f t="shared" si="32"/>
        <v>0</v>
      </c>
      <c r="J97" s="366" t="b">
        <f t="shared" si="33"/>
        <v>1</v>
      </c>
      <c r="K97" s="366"/>
      <c r="L97" s="366"/>
      <c r="M97" s="386" t="str">
        <f t="shared" si="34"/>
        <v/>
      </c>
      <c r="N97" s="366" t="b">
        <f t="shared" si="35"/>
        <v>0</v>
      </c>
      <c r="O97" s="367"/>
      <c r="P97" s="367"/>
      <c r="Q97" s="389" t="b">
        <f t="shared" si="36"/>
        <v>0</v>
      </c>
      <c r="R97" s="366" t="b">
        <f t="shared" si="37"/>
        <v>0</v>
      </c>
      <c r="S97" s="366" t="b">
        <f t="shared" si="38"/>
        <v>0</v>
      </c>
      <c r="T97" s="366" t="b">
        <f t="shared" si="28"/>
        <v>0</v>
      </c>
      <c r="U97" s="367"/>
      <c r="V97" s="366" t="b">
        <f t="shared" si="39"/>
        <v>0</v>
      </c>
      <c r="W97" s="367"/>
      <c r="X97" s="367"/>
      <c r="Y97" s="367"/>
      <c r="Z97" s="367"/>
      <c r="AA97" s="367"/>
      <c r="AB97" s="367"/>
      <c r="AC97" s="367"/>
      <c r="AD97" s="367"/>
      <c r="AE97" s="367"/>
      <c r="AF97" s="367"/>
      <c r="AG97" s="367"/>
      <c r="AH97" s="367"/>
      <c r="AI97" s="238"/>
      <c r="AJ97" s="238"/>
      <c r="AK97" s="238"/>
      <c r="AL97" s="238"/>
      <c r="AM97" s="238"/>
      <c r="AN97" s="238"/>
      <c r="AO97" s="238"/>
      <c r="AP97" s="238"/>
      <c r="AQ97" s="238"/>
      <c r="AR97" s="238"/>
      <c r="AS97" s="238"/>
      <c r="AT97" s="238"/>
      <c r="AU97" s="238"/>
      <c r="AV97" s="238"/>
      <c r="AW97" s="238"/>
      <c r="AX97" s="238"/>
      <c r="AY97" s="238"/>
    </row>
    <row r="98" spans="1:51" s="7" customFormat="1" ht="45" customHeight="1" x14ac:dyDescent="0.2">
      <c r="A98" s="295"/>
      <c r="B98" s="298"/>
      <c r="C98" s="307"/>
      <c r="D98" s="306"/>
      <c r="E98" s="300"/>
      <c r="F98" s="57" t="str">
        <f t="shared" si="29"/>
        <v/>
      </c>
      <c r="G98" s="216" t="str">
        <f t="shared" si="30"/>
        <v xml:space="preserve">  </v>
      </c>
      <c r="H98" s="366" t="b">
        <f t="shared" si="31"/>
        <v>0</v>
      </c>
      <c r="I98" s="366" t="b">
        <f t="shared" si="32"/>
        <v>0</v>
      </c>
      <c r="J98" s="366" t="b">
        <f t="shared" si="33"/>
        <v>1</v>
      </c>
      <c r="K98" s="366"/>
      <c r="L98" s="366"/>
      <c r="M98" s="386" t="str">
        <f t="shared" si="34"/>
        <v/>
      </c>
      <c r="N98" s="366" t="b">
        <f t="shared" si="35"/>
        <v>0</v>
      </c>
      <c r="O98" s="367"/>
      <c r="P98" s="367"/>
      <c r="Q98" s="389" t="b">
        <f t="shared" si="36"/>
        <v>0</v>
      </c>
      <c r="R98" s="366" t="b">
        <f t="shared" si="37"/>
        <v>0</v>
      </c>
      <c r="S98" s="366" t="b">
        <f t="shared" si="38"/>
        <v>0</v>
      </c>
      <c r="T98" s="366" t="b">
        <f t="shared" si="28"/>
        <v>0</v>
      </c>
      <c r="U98" s="367"/>
      <c r="V98" s="366" t="b">
        <f t="shared" si="39"/>
        <v>0</v>
      </c>
      <c r="W98" s="367"/>
      <c r="X98" s="367"/>
      <c r="Y98" s="367"/>
      <c r="Z98" s="367"/>
      <c r="AA98" s="367"/>
      <c r="AB98" s="367"/>
      <c r="AC98" s="367"/>
      <c r="AD98" s="367"/>
      <c r="AE98" s="367"/>
      <c r="AF98" s="367"/>
      <c r="AG98" s="367"/>
      <c r="AH98" s="367"/>
      <c r="AI98" s="238"/>
      <c r="AJ98" s="238"/>
      <c r="AK98" s="238"/>
      <c r="AL98" s="238"/>
      <c r="AM98" s="238"/>
      <c r="AN98" s="238"/>
      <c r="AO98" s="238"/>
      <c r="AP98" s="238"/>
      <c r="AQ98" s="238"/>
      <c r="AR98" s="238"/>
      <c r="AS98" s="238"/>
      <c r="AT98" s="238"/>
      <c r="AU98" s="238"/>
      <c r="AV98" s="238"/>
      <c r="AW98" s="238"/>
      <c r="AX98" s="238"/>
      <c r="AY98" s="238"/>
    </row>
    <row r="99" spans="1:51" s="7" customFormat="1" ht="45" customHeight="1" x14ac:dyDescent="0.2">
      <c r="A99" s="295"/>
      <c r="B99" s="298"/>
      <c r="C99" s="307"/>
      <c r="D99" s="306"/>
      <c r="E99" s="300"/>
      <c r="F99" s="57" t="str">
        <f t="shared" si="29"/>
        <v/>
      </c>
      <c r="G99" s="216" t="str">
        <f t="shared" si="30"/>
        <v xml:space="preserve">  </v>
      </c>
      <c r="H99" s="366" t="b">
        <f t="shared" si="31"/>
        <v>0</v>
      </c>
      <c r="I99" s="366" t="b">
        <f t="shared" si="32"/>
        <v>0</v>
      </c>
      <c r="J99" s="366" t="b">
        <f t="shared" si="33"/>
        <v>1</v>
      </c>
      <c r="K99" s="366"/>
      <c r="L99" s="366"/>
      <c r="M99" s="386" t="str">
        <f t="shared" si="34"/>
        <v/>
      </c>
      <c r="N99" s="366" t="b">
        <f t="shared" si="35"/>
        <v>0</v>
      </c>
      <c r="O99" s="367"/>
      <c r="P99" s="367"/>
      <c r="Q99" s="389" t="b">
        <f t="shared" si="36"/>
        <v>0</v>
      </c>
      <c r="R99" s="366" t="b">
        <f t="shared" si="37"/>
        <v>0</v>
      </c>
      <c r="S99" s="366" t="b">
        <f t="shared" si="38"/>
        <v>0</v>
      </c>
      <c r="T99" s="366" t="b">
        <f t="shared" si="28"/>
        <v>0</v>
      </c>
      <c r="U99" s="367"/>
      <c r="V99" s="366" t="b">
        <f t="shared" si="39"/>
        <v>0</v>
      </c>
      <c r="W99" s="367"/>
      <c r="X99" s="367"/>
      <c r="Y99" s="367"/>
      <c r="Z99" s="367"/>
      <c r="AA99" s="367"/>
      <c r="AB99" s="367"/>
      <c r="AC99" s="367"/>
      <c r="AD99" s="367"/>
      <c r="AE99" s="367"/>
      <c r="AF99" s="367"/>
      <c r="AG99" s="367"/>
      <c r="AH99" s="367"/>
      <c r="AI99" s="238"/>
      <c r="AJ99" s="238"/>
      <c r="AK99" s="238"/>
      <c r="AL99" s="238"/>
      <c r="AM99" s="238"/>
      <c r="AN99" s="238"/>
      <c r="AO99" s="238"/>
      <c r="AP99" s="238"/>
      <c r="AQ99" s="238"/>
      <c r="AR99" s="238"/>
      <c r="AS99" s="238"/>
      <c r="AT99" s="238"/>
      <c r="AU99" s="238"/>
      <c r="AV99" s="238"/>
      <c r="AW99" s="238"/>
      <c r="AX99" s="238"/>
      <c r="AY99" s="238"/>
    </row>
    <row r="100" spans="1:51" s="7" customFormat="1" ht="45" customHeight="1" x14ac:dyDescent="0.2">
      <c r="A100" s="295"/>
      <c r="B100" s="298"/>
      <c r="C100" s="307"/>
      <c r="D100" s="306"/>
      <c r="E100" s="300"/>
      <c r="F100" s="57" t="str">
        <f t="shared" si="29"/>
        <v/>
      </c>
      <c r="G100" s="216" t="str">
        <f t="shared" si="30"/>
        <v xml:space="preserve">  </v>
      </c>
      <c r="H100" s="366" t="b">
        <f t="shared" si="31"/>
        <v>0</v>
      </c>
      <c r="I100" s="366" t="b">
        <f t="shared" si="32"/>
        <v>0</v>
      </c>
      <c r="J100" s="366" t="b">
        <f t="shared" si="33"/>
        <v>1</v>
      </c>
      <c r="K100" s="366"/>
      <c r="L100" s="366"/>
      <c r="M100" s="386" t="str">
        <f t="shared" si="34"/>
        <v/>
      </c>
      <c r="N100" s="366" t="b">
        <f t="shared" si="35"/>
        <v>0</v>
      </c>
      <c r="O100" s="367"/>
      <c r="P100" s="367"/>
      <c r="Q100" s="389" t="b">
        <f t="shared" si="36"/>
        <v>0</v>
      </c>
      <c r="R100" s="366" t="b">
        <f t="shared" si="37"/>
        <v>0</v>
      </c>
      <c r="S100" s="366" t="b">
        <f t="shared" si="38"/>
        <v>0</v>
      </c>
      <c r="T100" s="366" t="b">
        <f t="shared" si="28"/>
        <v>0</v>
      </c>
      <c r="U100" s="367"/>
      <c r="V100" s="366" t="b">
        <f t="shared" si="39"/>
        <v>0</v>
      </c>
      <c r="W100" s="367"/>
      <c r="X100" s="367"/>
      <c r="Y100" s="367"/>
      <c r="Z100" s="367"/>
      <c r="AA100" s="367"/>
      <c r="AB100" s="367"/>
      <c r="AC100" s="367"/>
      <c r="AD100" s="367"/>
      <c r="AE100" s="367"/>
      <c r="AF100" s="367"/>
      <c r="AG100" s="367"/>
      <c r="AH100" s="367"/>
      <c r="AI100" s="238"/>
      <c r="AJ100" s="238"/>
      <c r="AK100" s="238"/>
      <c r="AL100" s="238"/>
      <c r="AM100" s="238"/>
      <c r="AN100" s="238"/>
      <c r="AO100" s="238"/>
      <c r="AP100" s="238"/>
      <c r="AQ100" s="238"/>
      <c r="AR100" s="238"/>
      <c r="AS100" s="238"/>
      <c r="AT100" s="238"/>
      <c r="AU100" s="238"/>
      <c r="AV100" s="238"/>
      <c r="AW100" s="238"/>
      <c r="AX100" s="238"/>
      <c r="AY100" s="238"/>
    </row>
    <row r="101" spans="1:51" s="7" customFormat="1" ht="45" customHeight="1" x14ac:dyDescent="0.2">
      <c r="A101" s="295"/>
      <c r="B101" s="298"/>
      <c r="C101" s="307"/>
      <c r="D101" s="306"/>
      <c r="E101" s="300"/>
      <c r="F101" s="57" t="str">
        <f t="shared" si="29"/>
        <v/>
      </c>
      <c r="G101" s="216" t="str">
        <f t="shared" si="30"/>
        <v xml:space="preserve">  </v>
      </c>
      <c r="H101" s="366" t="b">
        <f t="shared" si="31"/>
        <v>0</v>
      </c>
      <c r="I101" s="366" t="b">
        <f t="shared" si="32"/>
        <v>0</v>
      </c>
      <c r="J101" s="366" t="b">
        <f t="shared" si="33"/>
        <v>1</v>
      </c>
      <c r="K101" s="366"/>
      <c r="L101" s="366"/>
      <c r="M101" s="386" t="str">
        <f t="shared" si="34"/>
        <v/>
      </c>
      <c r="N101" s="366" t="b">
        <f t="shared" si="35"/>
        <v>0</v>
      </c>
      <c r="O101" s="367"/>
      <c r="P101" s="367"/>
      <c r="Q101" s="389" t="b">
        <f t="shared" si="36"/>
        <v>0</v>
      </c>
      <c r="R101" s="366" t="b">
        <f t="shared" si="37"/>
        <v>0</v>
      </c>
      <c r="S101" s="366" t="b">
        <f t="shared" si="38"/>
        <v>0</v>
      </c>
      <c r="T101" s="366" t="b">
        <f t="shared" si="28"/>
        <v>0</v>
      </c>
      <c r="U101" s="367"/>
      <c r="V101" s="366" t="b">
        <f t="shared" si="39"/>
        <v>0</v>
      </c>
      <c r="W101" s="367"/>
      <c r="X101" s="367"/>
      <c r="Y101" s="367"/>
      <c r="Z101" s="367"/>
      <c r="AA101" s="367"/>
      <c r="AB101" s="367"/>
      <c r="AC101" s="367"/>
      <c r="AD101" s="367"/>
      <c r="AE101" s="367"/>
      <c r="AF101" s="367"/>
      <c r="AG101" s="367"/>
      <c r="AH101" s="367"/>
      <c r="AI101" s="238"/>
      <c r="AJ101" s="238"/>
      <c r="AK101" s="238"/>
      <c r="AL101" s="238"/>
      <c r="AM101" s="238"/>
      <c r="AN101" s="238"/>
      <c r="AO101" s="238"/>
      <c r="AP101" s="238"/>
      <c r="AQ101" s="238"/>
      <c r="AR101" s="238"/>
      <c r="AS101" s="238"/>
      <c r="AT101" s="238"/>
      <c r="AU101" s="238"/>
      <c r="AV101" s="238"/>
      <c r="AW101" s="238"/>
      <c r="AX101" s="238"/>
      <c r="AY101" s="238"/>
    </row>
    <row r="102" spans="1:51" s="7" customFormat="1" ht="45.95" customHeight="1" thickBot="1" x14ac:dyDescent="0.25">
      <c r="A102" s="295"/>
      <c r="B102" s="298"/>
      <c r="C102" s="103" t="s">
        <v>382</v>
      </c>
      <c r="D102" s="308"/>
      <c r="E102" s="300"/>
      <c r="F102" s="57" t="str">
        <f t="shared" si="29"/>
        <v/>
      </c>
      <c r="G102" s="216" t="str">
        <f t="shared" si="30"/>
        <v xml:space="preserve">  </v>
      </c>
      <c r="H102" s="366" t="b">
        <f t="shared" si="31"/>
        <v>0</v>
      </c>
      <c r="I102" s="366" t="b">
        <f t="shared" si="32"/>
        <v>0</v>
      </c>
      <c r="J102" s="366" t="b">
        <f t="shared" si="33"/>
        <v>1</v>
      </c>
      <c r="K102" s="366"/>
      <c r="L102" s="366"/>
      <c r="M102" s="386" t="str">
        <f t="shared" si="34"/>
        <v/>
      </c>
      <c r="N102" s="366" t="b">
        <f t="shared" si="35"/>
        <v>0</v>
      </c>
      <c r="O102" s="367"/>
      <c r="P102" s="367"/>
      <c r="Q102" s="389" t="b">
        <f t="shared" si="36"/>
        <v>0</v>
      </c>
      <c r="R102" s="366" t="b">
        <f t="shared" si="37"/>
        <v>0</v>
      </c>
      <c r="S102" s="366" t="b">
        <f t="shared" si="38"/>
        <v>0</v>
      </c>
      <c r="T102" s="366" t="b">
        <f t="shared" si="27"/>
        <v>0</v>
      </c>
      <c r="U102" s="367"/>
      <c r="V102" s="366" t="b">
        <f t="shared" si="39"/>
        <v>0</v>
      </c>
      <c r="W102" s="367"/>
      <c r="X102" s="367"/>
      <c r="Y102" s="367"/>
      <c r="Z102" s="367"/>
      <c r="AA102" s="367"/>
      <c r="AB102" s="367"/>
      <c r="AC102" s="367"/>
      <c r="AD102" s="367"/>
      <c r="AE102" s="367"/>
      <c r="AF102" s="367"/>
      <c r="AG102" s="367"/>
      <c r="AH102" s="367"/>
      <c r="AI102" s="238"/>
      <c r="AJ102" s="238"/>
      <c r="AK102" s="238"/>
      <c r="AL102" s="238"/>
      <c r="AM102" s="238"/>
      <c r="AN102" s="238"/>
      <c r="AO102" s="238"/>
      <c r="AP102" s="238"/>
      <c r="AQ102" s="238"/>
      <c r="AR102" s="238"/>
      <c r="AS102" s="238"/>
      <c r="AT102" s="238"/>
      <c r="AU102" s="238"/>
      <c r="AV102" s="238"/>
      <c r="AW102" s="238"/>
      <c r="AX102" s="238"/>
      <c r="AY102" s="238"/>
    </row>
    <row r="103" spans="1:51" s="7" customFormat="1" ht="360" hidden="1" customHeight="1" x14ac:dyDescent="0.2">
      <c r="A103" s="208" t="s">
        <v>383</v>
      </c>
      <c r="B103" s="165"/>
      <c r="C103" s="96"/>
      <c r="D103" s="96"/>
      <c r="E103" s="96"/>
      <c r="F103" s="111"/>
      <c r="G103" s="216" t="str">
        <f>IF(I103=FALSE,"","You need a minimum of 1 hour for this CM Area")</f>
        <v/>
      </c>
      <c r="H103" s="366"/>
      <c r="I103" s="366"/>
      <c r="J103" s="366"/>
      <c r="K103" s="366"/>
      <c r="L103" s="366"/>
      <c r="M103" s="366"/>
      <c r="N103" s="367"/>
      <c r="O103" s="367"/>
      <c r="P103" s="367"/>
      <c r="Q103" s="389" t="b">
        <f t="shared" si="36"/>
        <v>0</v>
      </c>
      <c r="R103" s="367"/>
      <c r="S103" s="367"/>
      <c r="T103" s="367"/>
      <c r="U103" s="367"/>
      <c r="V103" s="367"/>
      <c r="W103" s="367"/>
      <c r="X103" s="367"/>
      <c r="Y103" s="367"/>
      <c r="Z103" s="367"/>
      <c r="AA103" s="367"/>
      <c r="AB103" s="367"/>
      <c r="AC103" s="367"/>
      <c r="AD103" s="367"/>
      <c r="AE103" s="367"/>
      <c r="AF103" s="367"/>
      <c r="AG103" s="367"/>
      <c r="AH103" s="367"/>
      <c r="AI103" s="238"/>
      <c r="AJ103" s="238"/>
      <c r="AK103" s="238"/>
      <c r="AL103" s="238"/>
      <c r="AM103" s="238"/>
      <c r="AN103" s="238"/>
      <c r="AO103" s="238"/>
      <c r="AP103" s="238"/>
      <c r="AQ103" s="238"/>
      <c r="AR103" s="238"/>
      <c r="AS103" s="238"/>
      <c r="AT103" s="238"/>
      <c r="AU103" s="238"/>
      <c r="AV103" s="238"/>
      <c r="AW103" s="238"/>
      <c r="AX103" s="238"/>
      <c r="AY103" s="238"/>
    </row>
    <row r="104" spans="1:51" s="13" customFormat="1" ht="360" hidden="1" customHeight="1" x14ac:dyDescent="0.2">
      <c r="A104" s="100" t="s">
        <v>310</v>
      </c>
      <c r="B104" s="166" t="s">
        <v>314</v>
      </c>
      <c r="C104" s="327" t="s">
        <v>57</v>
      </c>
      <c r="D104" s="133"/>
      <c r="E104" s="125" t="s">
        <v>54</v>
      </c>
      <c r="F104" s="63" t="s">
        <v>4</v>
      </c>
      <c r="G104" s="226"/>
      <c r="H104" s="366"/>
      <c r="I104" s="366"/>
      <c r="J104" s="389" t="s">
        <v>304</v>
      </c>
      <c r="K104" s="366"/>
      <c r="L104" s="366"/>
      <c r="M104" s="389" t="s">
        <v>309</v>
      </c>
      <c r="N104" s="397"/>
      <c r="O104" s="397"/>
      <c r="P104" s="367"/>
      <c r="Q104" s="389" t="b">
        <f t="shared" si="36"/>
        <v>0</v>
      </c>
      <c r="R104" s="367" t="s">
        <v>321</v>
      </c>
      <c r="S104" s="367"/>
      <c r="T104" s="367"/>
      <c r="U104" s="367"/>
      <c r="V104" s="367" t="s">
        <v>322</v>
      </c>
      <c r="W104" s="367" t="s">
        <v>323</v>
      </c>
      <c r="X104" s="367"/>
      <c r="Y104" s="367"/>
      <c r="Z104" s="367"/>
      <c r="AA104" s="367"/>
      <c r="AB104" s="367"/>
      <c r="AC104" s="367"/>
      <c r="AD104" s="367"/>
      <c r="AE104" s="367"/>
      <c r="AF104" s="397"/>
      <c r="AG104" s="397"/>
      <c r="AH104" s="397"/>
      <c r="AI104" s="242"/>
      <c r="AJ104" s="242"/>
      <c r="AK104" s="242"/>
      <c r="AL104" s="242"/>
      <c r="AM104" s="242"/>
      <c r="AN104" s="242"/>
      <c r="AO104" s="242"/>
      <c r="AP104" s="242"/>
      <c r="AQ104" s="242"/>
      <c r="AR104" s="242"/>
      <c r="AS104" s="242"/>
      <c r="AT104" s="242"/>
      <c r="AU104" s="242"/>
      <c r="AV104" s="242"/>
      <c r="AW104" s="242"/>
      <c r="AX104" s="242"/>
      <c r="AY104" s="242"/>
    </row>
    <row r="105" spans="1:51" s="7" customFormat="1" ht="360" hidden="1" customHeight="1" x14ac:dyDescent="0.2">
      <c r="A105" s="186"/>
      <c r="B105" s="188"/>
      <c r="C105" s="94"/>
      <c r="D105" s="132"/>
      <c r="E105" s="59"/>
      <c r="F105" s="95"/>
      <c r="G105" s="216" t="str">
        <f t="shared" ref="G105:G111" si="40">IF(B105="","",IF(V105=TRUE,"Please enter this event in preceeding section. The currect row is for events completed in 2011",IF(J105=TRUE,"'Dates entered are not consistent with your CM cycle start and stop dates",IF(I105=TRUE,"A minimum of 0.17 point is required for this CM Area",IF(N105=TRUE,"The CM points may be right but they seem inconsistent with the Start and Completion Dates.",IF(W105=TRUE,"Fist Aid and CPR Classes are not eligible for CM credit",IF(T105=TRUE,"6 points or more means that you attended every technical session, i.e. no breaks, no vendor time, no lunches, no networking, no social,etc","")))))))</f>
        <v/>
      </c>
      <c r="H105" s="366" t="b">
        <f t="shared" ref="H105:H111" si="41">OR(E105="IH",E105="Safety")</f>
        <v>0</v>
      </c>
      <c r="I105" s="366" t="b">
        <f t="shared" ref="I105:I111" si="42">AND(H105=TRUE,F105&gt;0,F105&lt;0.167)</f>
        <v>0</v>
      </c>
      <c r="J105" s="366" t="b">
        <f t="shared" ref="J105:J111" si="43">OR(A105&gt;CMEND,B105&lt;CMSTART,B105&gt;CMEND,B105&lt;A105)</f>
        <v>1</v>
      </c>
      <c r="K105" s="366"/>
      <c r="L105" s="366"/>
      <c r="M105" s="398" t="str">
        <f t="shared" ref="M105:M111" si="44">IF(OR(A105="",B105="",F105=""),"",(B105-A105+1)*1.34)</f>
        <v/>
      </c>
      <c r="N105" s="366" t="str">
        <f t="shared" ref="N105:N111" si="45">IF(F105="","",OR(M105="",F105/M105&gt;1.1))</f>
        <v/>
      </c>
      <c r="O105" s="397"/>
      <c r="P105" s="397"/>
      <c r="Q105" s="389" t="b">
        <f t="shared" si="36"/>
        <v>0</v>
      </c>
      <c r="R105" s="366" t="b">
        <f t="shared" ref="R105:R111" si="46">OR(ISNUMBER(SEARCH("AIHce",C105)),AND(ISNUMBER(SEARCH("AIHA",C105)),ISNUMBER(SEARCH("conf",C105))))</f>
        <v>0</v>
      </c>
      <c r="S105" s="366" t="b">
        <f>AND(F105&gt;=6)</f>
        <v>0</v>
      </c>
      <c r="T105" s="366" t="b">
        <f t="shared" ref="T105" si="47">AND(R105=TRUE,S105=TRUE)</f>
        <v>0</v>
      </c>
      <c r="U105" s="397"/>
      <c r="V105" s="397" t="b">
        <f t="shared" ref="V105:V111" si="48">AND(B105&gt;CMSTART,B105&gt;DATEVALUE("12/31/2011"))</f>
        <v>0</v>
      </c>
      <c r="W105" s="366" t="b">
        <f t="shared" ref="W105:W111" si="49">OR(ISNUMBER(SEARCH("First Aid",C105)),ISNUMBER(SEARCH("CPR",C105)))</f>
        <v>0</v>
      </c>
      <c r="X105" s="397"/>
      <c r="Y105" s="397"/>
      <c r="Z105" s="397"/>
      <c r="AA105" s="397"/>
      <c r="AB105" s="397"/>
      <c r="AC105" s="397"/>
      <c r="AD105" s="397"/>
      <c r="AE105" s="397"/>
      <c r="AF105" s="367"/>
      <c r="AG105" s="367"/>
      <c r="AH105" s="367"/>
      <c r="AI105" s="238"/>
      <c r="AJ105" s="238"/>
      <c r="AK105" s="238"/>
      <c r="AL105" s="238"/>
      <c r="AM105" s="238"/>
      <c r="AN105" s="238"/>
      <c r="AO105" s="238"/>
      <c r="AP105" s="238"/>
      <c r="AQ105" s="238"/>
      <c r="AR105" s="238"/>
      <c r="AS105" s="238"/>
      <c r="AT105" s="238"/>
      <c r="AU105" s="238"/>
      <c r="AV105" s="238"/>
      <c r="AW105" s="238"/>
      <c r="AX105" s="238"/>
      <c r="AY105" s="238"/>
    </row>
    <row r="106" spans="1:51" s="7" customFormat="1" ht="360" hidden="1" customHeight="1" x14ac:dyDescent="0.2">
      <c r="A106" s="186"/>
      <c r="B106" s="188"/>
      <c r="C106" s="97"/>
      <c r="D106" s="123"/>
      <c r="E106" s="59"/>
      <c r="F106" s="95"/>
      <c r="G106" s="216" t="str">
        <f t="shared" si="40"/>
        <v/>
      </c>
      <c r="H106" s="366" t="b">
        <f t="shared" si="41"/>
        <v>0</v>
      </c>
      <c r="I106" s="366" t="b">
        <f t="shared" si="42"/>
        <v>0</v>
      </c>
      <c r="J106" s="366" t="b">
        <f t="shared" si="43"/>
        <v>1</v>
      </c>
      <c r="K106" s="366"/>
      <c r="L106" s="366"/>
      <c r="M106" s="398" t="str">
        <f t="shared" si="44"/>
        <v/>
      </c>
      <c r="N106" s="366" t="str">
        <f t="shared" si="45"/>
        <v/>
      </c>
      <c r="O106" s="367"/>
      <c r="P106" s="367"/>
      <c r="Q106" s="389" t="b">
        <f t="shared" si="36"/>
        <v>0</v>
      </c>
      <c r="R106" s="366" t="b">
        <f t="shared" si="46"/>
        <v>0</v>
      </c>
      <c r="S106" s="366" t="b">
        <f t="shared" ref="S106:S111" si="50">ISNUMBER(SEARCH("6",F106))</f>
        <v>0</v>
      </c>
      <c r="T106" s="366" t="b">
        <f t="shared" ref="T106:T111" si="51">AND(R106=TRUE,S106=TRUE)</f>
        <v>0</v>
      </c>
      <c r="U106" s="367"/>
      <c r="V106" s="397" t="b">
        <f t="shared" si="48"/>
        <v>0</v>
      </c>
      <c r="W106" s="366" t="b">
        <f t="shared" si="49"/>
        <v>0</v>
      </c>
      <c r="X106" s="367"/>
      <c r="Y106" s="367"/>
      <c r="Z106" s="367"/>
      <c r="AA106" s="367"/>
      <c r="AB106" s="367"/>
      <c r="AC106" s="367"/>
      <c r="AD106" s="367"/>
      <c r="AE106" s="367"/>
      <c r="AF106" s="367"/>
      <c r="AG106" s="367"/>
      <c r="AH106" s="367"/>
      <c r="AI106" s="238"/>
      <c r="AJ106" s="238"/>
      <c r="AK106" s="238"/>
      <c r="AL106" s="238"/>
      <c r="AM106" s="238"/>
      <c r="AN106" s="238"/>
      <c r="AO106" s="238"/>
      <c r="AP106" s="238"/>
      <c r="AQ106" s="238"/>
      <c r="AR106" s="238"/>
      <c r="AS106" s="238"/>
      <c r="AT106" s="238"/>
      <c r="AU106" s="238"/>
      <c r="AV106" s="238"/>
      <c r="AW106" s="238"/>
      <c r="AX106" s="238"/>
      <c r="AY106" s="238"/>
    </row>
    <row r="107" spans="1:51" s="7" customFormat="1" ht="360" hidden="1" customHeight="1" x14ac:dyDescent="0.2">
      <c r="A107" s="186"/>
      <c r="B107" s="188"/>
      <c r="C107" s="97"/>
      <c r="D107" s="123"/>
      <c r="E107" s="59"/>
      <c r="F107" s="95"/>
      <c r="G107" s="216" t="str">
        <f t="shared" si="40"/>
        <v/>
      </c>
      <c r="H107" s="366" t="b">
        <f t="shared" si="41"/>
        <v>0</v>
      </c>
      <c r="I107" s="366" t="b">
        <f t="shared" si="42"/>
        <v>0</v>
      </c>
      <c r="J107" s="366" t="b">
        <f t="shared" si="43"/>
        <v>1</v>
      </c>
      <c r="K107" s="366"/>
      <c r="L107" s="366"/>
      <c r="M107" s="398" t="str">
        <f t="shared" si="44"/>
        <v/>
      </c>
      <c r="N107" s="366" t="str">
        <f t="shared" si="45"/>
        <v/>
      </c>
      <c r="O107" s="367"/>
      <c r="P107" s="367"/>
      <c r="Q107" s="389" t="b">
        <f t="shared" si="36"/>
        <v>0</v>
      </c>
      <c r="R107" s="366" t="b">
        <f t="shared" si="46"/>
        <v>0</v>
      </c>
      <c r="S107" s="366" t="b">
        <f t="shared" si="50"/>
        <v>0</v>
      </c>
      <c r="T107" s="366" t="b">
        <f t="shared" si="51"/>
        <v>0</v>
      </c>
      <c r="U107" s="367"/>
      <c r="V107" s="397" t="b">
        <f t="shared" si="48"/>
        <v>0</v>
      </c>
      <c r="W107" s="366" t="b">
        <f t="shared" si="49"/>
        <v>0</v>
      </c>
      <c r="X107" s="367"/>
      <c r="Y107" s="367"/>
      <c r="Z107" s="367"/>
      <c r="AA107" s="367"/>
      <c r="AB107" s="367"/>
      <c r="AC107" s="367"/>
      <c r="AD107" s="367"/>
      <c r="AE107" s="367"/>
      <c r="AF107" s="367"/>
      <c r="AG107" s="367"/>
      <c r="AH107" s="367"/>
      <c r="AI107" s="238"/>
      <c r="AJ107" s="238"/>
      <c r="AK107" s="238"/>
      <c r="AL107" s="238"/>
      <c r="AM107" s="238"/>
      <c r="AN107" s="238"/>
      <c r="AO107" s="238"/>
      <c r="AP107" s="238"/>
      <c r="AQ107" s="238"/>
      <c r="AR107" s="238"/>
      <c r="AS107" s="238"/>
      <c r="AT107" s="238"/>
      <c r="AU107" s="238"/>
      <c r="AV107" s="238"/>
      <c r="AW107" s="238"/>
      <c r="AX107" s="238"/>
      <c r="AY107" s="238"/>
    </row>
    <row r="108" spans="1:51" s="7" customFormat="1" ht="360" hidden="1" customHeight="1" x14ac:dyDescent="0.2">
      <c r="A108" s="186"/>
      <c r="B108" s="188"/>
      <c r="C108" s="97"/>
      <c r="D108" s="123"/>
      <c r="E108" s="59"/>
      <c r="F108" s="95"/>
      <c r="G108" s="216" t="str">
        <f t="shared" si="40"/>
        <v/>
      </c>
      <c r="H108" s="366" t="b">
        <f t="shared" si="41"/>
        <v>0</v>
      </c>
      <c r="I108" s="366" t="b">
        <f t="shared" si="42"/>
        <v>0</v>
      </c>
      <c r="J108" s="366" t="b">
        <f t="shared" si="43"/>
        <v>1</v>
      </c>
      <c r="K108" s="366"/>
      <c r="L108" s="366"/>
      <c r="M108" s="398" t="str">
        <f t="shared" si="44"/>
        <v/>
      </c>
      <c r="N108" s="366" t="str">
        <f t="shared" si="45"/>
        <v/>
      </c>
      <c r="O108" s="367"/>
      <c r="P108" s="367"/>
      <c r="Q108" s="389" t="b">
        <f t="shared" si="36"/>
        <v>0</v>
      </c>
      <c r="R108" s="366" t="b">
        <f t="shared" si="46"/>
        <v>0</v>
      </c>
      <c r="S108" s="366" t="b">
        <f t="shared" si="50"/>
        <v>0</v>
      </c>
      <c r="T108" s="366" t="b">
        <f t="shared" si="51"/>
        <v>0</v>
      </c>
      <c r="U108" s="367"/>
      <c r="V108" s="397" t="b">
        <f t="shared" si="48"/>
        <v>0</v>
      </c>
      <c r="W108" s="366" t="b">
        <f t="shared" si="49"/>
        <v>0</v>
      </c>
      <c r="X108" s="367"/>
      <c r="Y108" s="367"/>
      <c r="Z108" s="367"/>
      <c r="AA108" s="367"/>
      <c r="AB108" s="367"/>
      <c r="AC108" s="367"/>
      <c r="AD108" s="367"/>
      <c r="AE108" s="367"/>
      <c r="AF108" s="367"/>
      <c r="AG108" s="367"/>
      <c r="AH108" s="367"/>
      <c r="AI108" s="238"/>
      <c r="AJ108" s="238"/>
      <c r="AK108" s="238"/>
      <c r="AL108" s="238"/>
      <c r="AM108" s="238"/>
      <c r="AN108" s="238"/>
      <c r="AO108" s="238"/>
      <c r="AP108" s="238"/>
      <c r="AQ108" s="238"/>
      <c r="AR108" s="238"/>
      <c r="AS108" s="238"/>
      <c r="AT108" s="238"/>
      <c r="AU108" s="238"/>
      <c r="AV108" s="238"/>
      <c r="AW108" s="238"/>
      <c r="AX108" s="238"/>
      <c r="AY108" s="238"/>
    </row>
    <row r="109" spans="1:51" s="7" customFormat="1" ht="360" hidden="1" customHeight="1" x14ac:dyDescent="0.2">
      <c r="A109" s="186"/>
      <c r="B109" s="188"/>
      <c r="C109" s="97"/>
      <c r="D109" s="123"/>
      <c r="E109" s="59"/>
      <c r="F109" s="95"/>
      <c r="G109" s="216" t="str">
        <f t="shared" si="40"/>
        <v/>
      </c>
      <c r="H109" s="366" t="b">
        <f t="shared" si="41"/>
        <v>0</v>
      </c>
      <c r="I109" s="366" t="b">
        <f t="shared" si="42"/>
        <v>0</v>
      </c>
      <c r="J109" s="366" t="b">
        <f t="shared" si="43"/>
        <v>1</v>
      </c>
      <c r="K109" s="366"/>
      <c r="L109" s="366"/>
      <c r="M109" s="398" t="str">
        <f t="shared" si="44"/>
        <v/>
      </c>
      <c r="N109" s="366" t="str">
        <f t="shared" si="45"/>
        <v/>
      </c>
      <c r="O109" s="367"/>
      <c r="P109" s="367"/>
      <c r="Q109" s="389" t="b">
        <f t="shared" si="36"/>
        <v>0</v>
      </c>
      <c r="R109" s="366" t="b">
        <f t="shared" si="46"/>
        <v>0</v>
      </c>
      <c r="S109" s="366" t="b">
        <f t="shared" si="50"/>
        <v>0</v>
      </c>
      <c r="T109" s="366" t="b">
        <f t="shared" si="51"/>
        <v>0</v>
      </c>
      <c r="U109" s="367"/>
      <c r="V109" s="397" t="b">
        <f t="shared" si="48"/>
        <v>0</v>
      </c>
      <c r="W109" s="366" t="b">
        <f t="shared" si="49"/>
        <v>0</v>
      </c>
      <c r="X109" s="367"/>
      <c r="Y109" s="367"/>
      <c r="Z109" s="367"/>
      <c r="AA109" s="367"/>
      <c r="AB109" s="367"/>
      <c r="AC109" s="367"/>
      <c r="AD109" s="367"/>
      <c r="AE109" s="367"/>
      <c r="AF109" s="367"/>
      <c r="AG109" s="367"/>
      <c r="AH109" s="367"/>
      <c r="AI109" s="238"/>
      <c r="AJ109" s="238"/>
      <c r="AK109" s="238"/>
      <c r="AL109" s="238"/>
      <c r="AM109" s="238"/>
      <c r="AN109" s="238"/>
      <c r="AO109" s="238"/>
      <c r="AP109" s="238"/>
      <c r="AQ109" s="238"/>
      <c r="AR109" s="238"/>
      <c r="AS109" s="238"/>
      <c r="AT109" s="238"/>
      <c r="AU109" s="238"/>
      <c r="AV109" s="238"/>
      <c r="AW109" s="238"/>
      <c r="AX109" s="238"/>
      <c r="AY109" s="238"/>
    </row>
    <row r="110" spans="1:51" s="7" customFormat="1" ht="360" hidden="1" customHeight="1" x14ac:dyDescent="0.2">
      <c r="A110" s="186"/>
      <c r="B110" s="188"/>
      <c r="C110" s="97"/>
      <c r="D110" s="123"/>
      <c r="E110" s="59"/>
      <c r="F110" s="95"/>
      <c r="G110" s="216" t="str">
        <f t="shared" si="40"/>
        <v/>
      </c>
      <c r="H110" s="366" t="b">
        <f t="shared" si="41"/>
        <v>0</v>
      </c>
      <c r="I110" s="366" t="b">
        <f t="shared" si="42"/>
        <v>0</v>
      </c>
      <c r="J110" s="366" t="b">
        <f t="shared" si="43"/>
        <v>1</v>
      </c>
      <c r="K110" s="366"/>
      <c r="L110" s="366"/>
      <c r="M110" s="398" t="str">
        <f t="shared" si="44"/>
        <v/>
      </c>
      <c r="N110" s="366" t="str">
        <f t="shared" si="45"/>
        <v/>
      </c>
      <c r="O110" s="367"/>
      <c r="P110" s="367"/>
      <c r="Q110" s="389" t="b">
        <f t="shared" si="36"/>
        <v>0</v>
      </c>
      <c r="R110" s="366" t="b">
        <f t="shared" si="46"/>
        <v>0</v>
      </c>
      <c r="S110" s="366" t="b">
        <f t="shared" si="50"/>
        <v>0</v>
      </c>
      <c r="T110" s="366" t="b">
        <f t="shared" si="51"/>
        <v>0</v>
      </c>
      <c r="U110" s="367"/>
      <c r="V110" s="397" t="b">
        <f t="shared" si="48"/>
        <v>0</v>
      </c>
      <c r="W110" s="366" t="b">
        <f t="shared" si="49"/>
        <v>0</v>
      </c>
      <c r="X110" s="367"/>
      <c r="Y110" s="367"/>
      <c r="Z110" s="367"/>
      <c r="AA110" s="367"/>
      <c r="AB110" s="367"/>
      <c r="AC110" s="367"/>
      <c r="AD110" s="367"/>
      <c r="AE110" s="367"/>
      <c r="AF110" s="367"/>
      <c r="AG110" s="367"/>
      <c r="AH110" s="367"/>
      <c r="AI110" s="238"/>
      <c r="AJ110" s="238"/>
      <c r="AK110" s="238"/>
      <c r="AL110" s="238"/>
      <c r="AM110" s="238"/>
      <c r="AN110" s="238"/>
      <c r="AO110" s="238"/>
      <c r="AP110" s="238"/>
      <c r="AQ110" s="238"/>
      <c r="AR110" s="238"/>
      <c r="AS110" s="238"/>
      <c r="AT110" s="238"/>
      <c r="AU110" s="238"/>
      <c r="AV110" s="238"/>
      <c r="AW110" s="238"/>
      <c r="AX110" s="238"/>
      <c r="AY110" s="238"/>
    </row>
    <row r="111" spans="1:51" s="7" customFormat="1" ht="360" hidden="1" customHeight="1" thickBot="1" x14ac:dyDescent="0.25">
      <c r="A111" s="187"/>
      <c r="B111" s="189"/>
      <c r="C111" s="98"/>
      <c r="D111" s="124"/>
      <c r="E111" s="59"/>
      <c r="F111" s="95"/>
      <c r="G111" s="216" t="str">
        <f t="shared" si="40"/>
        <v/>
      </c>
      <c r="H111" s="366" t="b">
        <f t="shared" si="41"/>
        <v>0</v>
      </c>
      <c r="I111" s="366" t="b">
        <f t="shared" si="42"/>
        <v>0</v>
      </c>
      <c r="J111" s="366" t="b">
        <f t="shared" si="43"/>
        <v>1</v>
      </c>
      <c r="K111" s="366"/>
      <c r="L111" s="366"/>
      <c r="M111" s="398" t="str">
        <f t="shared" si="44"/>
        <v/>
      </c>
      <c r="N111" s="366" t="str">
        <f t="shared" si="45"/>
        <v/>
      </c>
      <c r="O111" s="367"/>
      <c r="P111" s="367"/>
      <c r="Q111" s="389" t="b">
        <f t="shared" si="36"/>
        <v>0</v>
      </c>
      <c r="R111" s="366" t="b">
        <f t="shared" si="46"/>
        <v>0</v>
      </c>
      <c r="S111" s="366" t="b">
        <f t="shared" si="50"/>
        <v>0</v>
      </c>
      <c r="T111" s="366" t="b">
        <f t="shared" si="51"/>
        <v>0</v>
      </c>
      <c r="U111" s="367"/>
      <c r="V111" s="397" t="b">
        <f t="shared" si="48"/>
        <v>0</v>
      </c>
      <c r="W111" s="366" t="b">
        <f t="shared" si="49"/>
        <v>0</v>
      </c>
      <c r="X111" s="367"/>
      <c r="Y111" s="367"/>
      <c r="Z111" s="367"/>
      <c r="AA111" s="367"/>
      <c r="AB111" s="367"/>
      <c r="AC111" s="367"/>
      <c r="AD111" s="367"/>
      <c r="AE111" s="367"/>
      <c r="AF111" s="367"/>
      <c r="AG111" s="367"/>
      <c r="AH111" s="367"/>
      <c r="AI111" s="238"/>
      <c r="AJ111" s="238"/>
      <c r="AK111" s="238"/>
      <c r="AL111" s="238"/>
      <c r="AM111" s="238"/>
      <c r="AN111" s="238"/>
      <c r="AO111" s="238"/>
      <c r="AP111" s="238"/>
      <c r="AQ111" s="238"/>
      <c r="AR111" s="238"/>
      <c r="AS111" s="238"/>
      <c r="AT111" s="238"/>
      <c r="AU111" s="238"/>
      <c r="AV111" s="238"/>
      <c r="AW111" s="238"/>
      <c r="AX111" s="238"/>
      <c r="AY111" s="238"/>
    </row>
    <row r="112" spans="1:51" s="7" customFormat="1" ht="21" customHeight="1" thickBot="1" x14ac:dyDescent="0.25">
      <c r="A112" s="207"/>
      <c r="B112" s="165"/>
      <c r="C112" s="96"/>
      <c r="D112" s="96"/>
      <c r="E112" s="182"/>
      <c r="F112" s="183"/>
      <c r="G112" s="216"/>
      <c r="H112" s="366"/>
      <c r="I112" s="366"/>
      <c r="J112" s="366"/>
      <c r="K112" s="366"/>
      <c r="L112" s="366"/>
      <c r="M112" s="398"/>
      <c r="N112" s="366"/>
      <c r="O112" s="367"/>
      <c r="P112" s="367"/>
      <c r="Q112" s="389"/>
      <c r="R112" s="366"/>
      <c r="S112" s="366"/>
      <c r="T112" s="366"/>
      <c r="U112" s="367"/>
      <c r="V112" s="397"/>
      <c r="W112" s="366"/>
      <c r="X112" s="367"/>
      <c r="Y112" s="367"/>
      <c r="Z112" s="367"/>
      <c r="AA112" s="367"/>
      <c r="AB112" s="367"/>
      <c r="AC112" s="367"/>
      <c r="AD112" s="367"/>
      <c r="AE112" s="367"/>
      <c r="AF112" s="367"/>
      <c r="AG112" s="367"/>
      <c r="AH112" s="367"/>
      <c r="AI112" s="238"/>
      <c r="AJ112" s="238"/>
      <c r="AK112" s="238"/>
      <c r="AL112" s="238"/>
      <c r="AM112" s="238"/>
      <c r="AN112" s="238"/>
      <c r="AO112" s="238"/>
      <c r="AP112" s="238"/>
      <c r="AQ112" s="238"/>
      <c r="AR112" s="238"/>
      <c r="AS112" s="238"/>
      <c r="AT112" s="238"/>
      <c r="AU112" s="238"/>
      <c r="AV112" s="238"/>
      <c r="AW112" s="238"/>
      <c r="AX112" s="238"/>
      <c r="AY112" s="238"/>
    </row>
    <row r="113" spans="1:51" s="8" customFormat="1" ht="17.100000000000001" customHeight="1" x14ac:dyDescent="0.2">
      <c r="A113" s="64" t="s">
        <v>401</v>
      </c>
      <c r="B113" s="160"/>
      <c r="C113" s="62"/>
      <c r="D113" s="62"/>
      <c r="E113" s="19" t="s">
        <v>233</v>
      </c>
      <c r="F113" s="109">
        <f>IF(SUM(F116:F124)&gt;20,20,SUM(F116:F124))</f>
        <v>0</v>
      </c>
      <c r="G113" s="220" t="str">
        <f>IF(F113&gt;=20, "Point Maximum Reached","")</f>
        <v/>
      </c>
      <c r="H113" s="366"/>
      <c r="I113" s="366"/>
      <c r="J113" s="366"/>
      <c r="K113" s="366"/>
      <c r="L113" s="366"/>
      <c r="M113" s="366"/>
      <c r="N113" s="367"/>
      <c r="O113" s="367"/>
      <c r="P113" s="367"/>
      <c r="Q113" s="389"/>
      <c r="R113" s="367"/>
      <c r="S113" s="367"/>
      <c r="T113" s="367"/>
      <c r="U113" s="367"/>
      <c r="V113" s="367" t="b">
        <f>OR(V105=TRUE,V106=TRUE,V107=TRUE,V108=TRUE,V109=TRUE,V110=TRUE,V111=TRUE)</f>
        <v>0</v>
      </c>
      <c r="W113" s="367"/>
      <c r="X113" s="367"/>
      <c r="Y113" s="367"/>
      <c r="Z113" s="367"/>
      <c r="AA113" s="367"/>
      <c r="AB113" s="367"/>
      <c r="AC113" s="367"/>
      <c r="AD113" s="367"/>
      <c r="AE113" s="367"/>
      <c r="AF113" s="383"/>
      <c r="AG113" s="383"/>
      <c r="AH113" s="383"/>
      <c r="AI113" s="239"/>
      <c r="AJ113" s="239"/>
      <c r="AK113" s="239"/>
      <c r="AL113" s="239"/>
      <c r="AM113" s="239"/>
      <c r="AN113" s="239"/>
      <c r="AO113" s="239"/>
      <c r="AP113" s="239"/>
      <c r="AQ113" s="239"/>
      <c r="AR113" s="239"/>
      <c r="AS113" s="239"/>
      <c r="AT113" s="239"/>
      <c r="AU113" s="239"/>
      <c r="AV113" s="239"/>
      <c r="AW113" s="239"/>
      <c r="AX113" s="239"/>
      <c r="AY113" s="239"/>
    </row>
    <row r="114" spans="1:51" s="8" customFormat="1" ht="9.9499999999999993" customHeight="1" x14ac:dyDescent="0.2">
      <c r="A114" s="87" t="s">
        <v>23</v>
      </c>
      <c r="B114" s="167"/>
      <c r="C114" s="88" t="s">
        <v>467</v>
      </c>
      <c r="D114" s="342" t="s">
        <v>409</v>
      </c>
      <c r="E114" s="343"/>
      <c r="F114" s="90"/>
      <c r="G114" s="223"/>
      <c r="H114" s="366" t="s">
        <v>41</v>
      </c>
      <c r="I114" s="366" t="s">
        <v>42</v>
      </c>
      <c r="J114" s="366" t="s">
        <v>274</v>
      </c>
      <c r="K114" s="399" t="s">
        <v>402</v>
      </c>
      <c r="L114" s="400" t="s">
        <v>403</v>
      </c>
      <c r="M114" s="366"/>
      <c r="N114" s="389" t="s">
        <v>273</v>
      </c>
      <c r="O114" s="383"/>
      <c r="P114" s="383"/>
      <c r="Q114" s="383"/>
      <c r="R114" s="383"/>
      <c r="S114" s="383"/>
      <c r="T114" s="383"/>
      <c r="U114" s="383" t="s">
        <v>305</v>
      </c>
      <c r="V114" s="383"/>
      <c r="W114" s="383"/>
      <c r="X114" s="383"/>
      <c r="Y114" s="383"/>
      <c r="Z114" s="383"/>
      <c r="AA114" s="383"/>
      <c r="AB114" s="383"/>
      <c r="AC114" s="383"/>
      <c r="AD114" s="383"/>
      <c r="AE114" s="383"/>
      <c r="AF114" s="383"/>
      <c r="AG114" s="383"/>
      <c r="AH114" s="383"/>
      <c r="AI114" s="239"/>
      <c r="AJ114" s="239"/>
      <c r="AK114" s="239"/>
      <c r="AL114" s="239"/>
      <c r="AM114" s="239"/>
      <c r="AN114" s="239"/>
      <c r="AO114" s="239"/>
      <c r="AP114" s="239"/>
      <c r="AQ114" s="239"/>
      <c r="AR114" s="239"/>
      <c r="AS114" s="239"/>
      <c r="AT114" s="239"/>
      <c r="AU114" s="239"/>
      <c r="AV114" s="239"/>
      <c r="AW114" s="239"/>
      <c r="AX114" s="239"/>
      <c r="AY114" s="239"/>
    </row>
    <row r="115" spans="1:51" s="14" customFormat="1" ht="45" x14ac:dyDescent="0.2">
      <c r="A115" s="16" t="s">
        <v>310</v>
      </c>
      <c r="B115" s="162" t="s">
        <v>315</v>
      </c>
      <c r="C115" s="99" t="s">
        <v>269</v>
      </c>
      <c r="D115" s="99" t="s">
        <v>281</v>
      </c>
      <c r="E115" s="102" t="s">
        <v>58</v>
      </c>
      <c r="F115" s="17" t="s">
        <v>4</v>
      </c>
      <c r="G115" s="220"/>
      <c r="H115" s="387" t="s">
        <v>270</v>
      </c>
      <c r="I115" s="387" t="s">
        <v>400</v>
      </c>
      <c r="J115" s="387"/>
      <c r="K115" s="401" t="s">
        <v>272</v>
      </c>
      <c r="L115" s="387" t="s">
        <v>276</v>
      </c>
      <c r="M115" s="387" t="s">
        <v>271</v>
      </c>
      <c r="N115" s="401" t="s">
        <v>277</v>
      </c>
      <c r="O115" s="387" t="s">
        <v>271</v>
      </c>
      <c r="P115" s="367" t="s">
        <v>275</v>
      </c>
      <c r="Q115" s="389" t="s">
        <v>280</v>
      </c>
      <c r="R115" s="389" t="s">
        <v>278</v>
      </c>
      <c r="S115" s="389" t="s">
        <v>279</v>
      </c>
      <c r="T115" s="389"/>
      <c r="U115" s="389" t="s">
        <v>40</v>
      </c>
      <c r="V115" s="389"/>
      <c r="W115" s="389" t="s">
        <v>25</v>
      </c>
      <c r="X115" s="389"/>
      <c r="Y115" s="389"/>
      <c r="Z115" s="389"/>
      <c r="AA115" s="394" t="s">
        <v>398</v>
      </c>
      <c r="AB115" s="389"/>
      <c r="AC115" s="389"/>
      <c r="AD115" s="389"/>
      <c r="AE115" s="367"/>
      <c r="AF115" s="361"/>
      <c r="AG115" s="361"/>
      <c r="AH115" s="361"/>
      <c r="AI115" s="236"/>
      <c r="AJ115" s="236"/>
      <c r="AK115" s="236"/>
      <c r="AL115" s="236"/>
      <c r="AM115" s="236"/>
      <c r="AN115" s="236"/>
      <c r="AO115" s="236"/>
      <c r="AP115" s="236"/>
      <c r="AQ115" s="236"/>
      <c r="AR115" s="236"/>
      <c r="AS115" s="236"/>
      <c r="AT115" s="236"/>
      <c r="AU115" s="236"/>
      <c r="AV115" s="236"/>
      <c r="AW115" s="236"/>
      <c r="AX115" s="236"/>
      <c r="AY115" s="236"/>
    </row>
    <row r="116" spans="1:51" s="7" customFormat="1" ht="42" customHeight="1" x14ac:dyDescent="0.2">
      <c r="A116" s="295"/>
      <c r="B116" s="296"/>
      <c r="C116" s="119"/>
      <c r="D116" s="299"/>
      <c r="E116" s="300"/>
      <c r="F116" s="57" t="str">
        <f t="shared" ref="F116:F124" si="52">IF(D116="","",IF(Y116=TRUE,0,ROUND(P116,2)))</f>
        <v/>
      </c>
      <c r="G116" s="216" t="str">
        <f>IF(OR(A116="",B116=""),"",IF(Y116=TRUE,"Dates entered are not consistent with your CM cycle start and end dates. ","")) &amp; IF(AND(NOT(E116=""),D116="Poster Session - Nat/Int Conf"),"Presentation Time not needed. ","") &amp; IF(Q116=TRUE,"Must be at least 20 minutes. ","") &amp; IF(R116=TRUE,"Must be at least 20 minutes. ","") &amp; IF(S116=TRUE,"Must be at least 20 minutes","")&amp;IF(AA116=TRUE,"You are missing the dates for your CM points. ","")</f>
        <v/>
      </c>
      <c r="H116" s="366" t="str">
        <f>IF(AND(D116="Presenter - Nat/Int Conf",E116&gt;=20),1,"")</f>
        <v/>
      </c>
      <c r="I116" s="366" t="str">
        <f>IF(AND(D116="Co-author - Nat/Int Conf",E116&gt;=20),0.5,"")</f>
        <v/>
      </c>
      <c r="J116" s="366" t="str">
        <f>IF(D116="Poster Session - Nat/Int Conf",0.5,"")</f>
        <v/>
      </c>
      <c r="K116" s="389">
        <f>IF(AND(D116="Teach/Present - Live",E116&gt;=20),MIN(E116*0.005556,20),0)</f>
        <v>0</v>
      </c>
      <c r="L116" s="366">
        <f>IF(AND(D116="Teach/Present - Asynchronous event",E116&gt;=20),MIN(E116*0.005556,20),0)</f>
        <v>0</v>
      </c>
      <c r="M116" s="366"/>
      <c r="N116" s="366"/>
      <c r="O116" s="366"/>
      <c r="P116" s="366">
        <f t="shared" ref="P116" si="53">SUM(H116:O116)</f>
        <v>0</v>
      </c>
      <c r="Q116" s="389" t="b">
        <f>AND(OR(D116="Presenter - Nat/Int Conf",D116="Co-author - Nat/Int Conf"),E116&lt;20)</f>
        <v>0</v>
      </c>
      <c r="R116" s="389" t="b">
        <f>AND(D116="Teach/Present - Live", E116&lt;20)</f>
        <v>0</v>
      </c>
      <c r="S116" s="389" t="b">
        <f>AND(D116="Teach/Present - Asynchronous event", E116&lt;20)</f>
        <v>0</v>
      </c>
      <c r="T116" s="389"/>
      <c r="U116" s="389" t="b">
        <f t="shared" ref="U116" si="54">OR(A116="",A116&lt;CMSTART)</f>
        <v>1</v>
      </c>
      <c r="V116" s="389" t="b">
        <f t="shared" ref="V116" si="55">OR(B116="",A116&gt;CMEND)</f>
        <v>1</v>
      </c>
      <c r="W116" s="389" t="b">
        <f t="shared" ref="W116" si="56">OR(B116="",B116&lt;CMSTART)</f>
        <v>1</v>
      </c>
      <c r="X116" s="389" t="b">
        <f t="shared" ref="X116" si="57">OR(B116="",B116&gt;CMEND,B116&lt;A116)</f>
        <v>1</v>
      </c>
      <c r="Y116" s="389" t="b">
        <f>OR(U116=TRUE,V116=TRUE,W116=TRUE,X116=TRUE)</f>
        <v>1</v>
      </c>
      <c r="Z116" s="389"/>
      <c r="AA116" s="389" t="b">
        <f t="shared" ref="AA116" si="58">IF(AND(OR(A116="",B116=""),NOT(F116="")),TRUE,FALSE)</f>
        <v>0</v>
      </c>
      <c r="AB116" s="389"/>
      <c r="AC116" s="389"/>
      <c r="AD116" s="389"/>
      <c r="AE116" s="389"/>
      <c r="AF116" s="361"/>
      <c r="AG116" s="367"/>
      <c r="AH116" s="367"/>
      <c r="AI116" s="238"/>
      <c r="AJ116" s="238"/>
      <c r="AK116" s="238"/>
      <c r="AL116" s="238"/>
      <c r="AM116" s="238"/>
      <c r="AN116" s="238"/>
      <c r="AO116" s="238"/>
      <c r="AP116" s="238"/>
      <c r="AQ116" s="238"/>
      <c r="AR116" s="238"/>
      <c r="AS116" s="238"/>
      <c r="AT116" s="238"/>
      <c r="AU116" s="238"/>
      <c r="AV116" s="238"/>
      <c r="AW116" s="238"/>
      <c r="AX116" s="238"/>
      <c r="AY116" s="238"/>
    </row>
    <row r="117" spans="1:51" s="7" customFormat="1" ht="42" customHeight="1" x14ac:dyDescent="0.2">
      <c r="A117" s="295"/>
      <c r="B117" s="296"/>
      <c r="C117" s="301" t="s">
        <v>384</v>
      </c>
      <c r="D117" s="299"/>
      <c r="E117" s="300"/>
      <c r="F117" s="57" t="str">
        <f t="shared" si="52"/>
        <v/>
      </c>
      <c r="G117" s="216" t="str">
        <f t="shared" ref="G117:G124" si="59">IF(OR(A117="",B117=""),"",IF(Y117=TRUE,"Dates entered are not consistent with your CM cycle start and end dates. ","")) &amp; IF(AND(NOT(E117=""),D117="Poster Session - Nat/Int Conf"),"Presentation Time not needed. ","") &amp; IF(Q117=TRUE,"Must be at least 20 minutes. ","") &amp; IF(R117=TRUE,"Must be at least 20 minutes. ","") &amp; IF(S117=TRUE,"Must be at least 20 minutes","")&amp;IF(AA117=TRUE,"You are missing the dates for your CM points. ","")</f>
        <v/>
      </c>
      <c r="H117" s="366" t="str">
        <f t="shared" ref="H117:H124" si="60">IF(AND(D117="Presenter - Nat/Int Conf",E117&gt;=20),1,"")</f>
        <v/>
      </c>
      <c r="I117" s="366" t="str">
        <f t="shared" ref="I117:I124" si="61">IF(AND(D117="Co-author - Nat/Int Conf",E117&gt;=20),0.5,"")</f>
        <v/>
      </c>
      <c r="J117" s="366" t="str">
        <f t="shared" ref="J117:J124" si="62">IF(D117="Poster Session - Nat/Int Conf",0.5,"")</f>
        <v/>
      </c>
      <c r="K117" s="389">
        <f t="shared" ref="K117:K124" si="63">IF(AND(D117="Teach/Present - Live",E117&gt;=20),MIN(E117*0.005556,20),0)</f>
        <v>0</v>
      </c>
      <c r="L117" s="366">
        <f t="shared" ref="L117:L124" si="64">IF(AND(D117="Teach/Present - Asynchronous event",E117&gt;=20),MIN(E117*0.005556,20),0)</f>
        <v>0</v>
      </c>
      <c r="M117" s="366"/>
      <c r="N117" s="366"/>
      <c r="O117" s="366"/>
      <c r="P117" s="366">
        <f t="shared" ref="P117:P124" si="65">SUM(H117:O117)</f>
        <v>0</v>
      </c>
      <c r="Q117" s="389" t="b">
        <f t="shared" ref="Q117:Q124" si="66">AND(OR(D117="Presenter - Nat/Int Conf",D117="Co-author - Nat/Int Conf"),E117&lt;20)</f>
        <v>0</v>
      </c>
      <c r="R117" s="389" t="b">
        <f t="shared" ref="R117:R124" si="67">AND(D117="Teach/Present - Live", E117&lt;20)</f>
        <v>0</v>
      </c>
      <c r="S117" s="389" t="b">
        <f t="shared" ref="S117:S124" si="68">AND(D117="Teach/Present - Asynchronous event", E117&lt;20)</f>
        <v>0</v>
      </c>
      <c r="T117" s="389"/>
      <c r="U117" s="389" t="b">
        <f t="shared" ref="U117:U124" si="69">OR(A117="",A117&lt;CMSTART)</f>
        <v>1</v>
      </c>
      <c r="V117" s="389" t="b">
        <f t="shared" ref="V117:V124" si="70">OR(B117="",A117&gt;CMEND)</f>
        <v>1</v>
      </c>
      <c r="W117" s="389" t="b">
        <f t="shared" ref="W117:W124" si="71">OR(B117="",B117&lt;CMSTART)</f>
        <v>1</v>
      </c>
      <c r="X117" s="389" t="b">
        <f t="shared" ref="X117:X124" si="72">OR(B117="",B117&gt;CMEND,B117&lt;A117)</f>
        <v>1</v>
      </c>
      <c r="Y117" s="389" t="b">
        <f t="shared" ref="Y117:Y124" si="73">OR(U117=TRUE,V117=TRUE,W117=TRUE,X117=TRUE)</f>
        <v>1</v>
      </c>
      <c r="Z117" s="389"/>
      <c r="AA117" s="389" t="b">
        <f t="shared" ref="AA117:AA124" si="74">IF(AND(OR(A117="",B117=""),NOT(F117="")),TRUE,FALSE)</f>
        <v>0</v>
      </c>
      <c r="AB117" s="389"/>
      <c r="AC117" s="389"/>
      <c r="AD117" s="389"/>
      <c r="AE117" s="389"/>
      <c r="AF117" s="361"/>
      <c r="AG117" s="367"/>
      <c r="AH117" s="367"/>
      <c r="AI117" s="238"/>
      <c r="AJ117" s="238"/>
      <c r="AK117" s="238"/>
      <c r="AL117" s="238"/>
      <c r="AM117" s="238"/>
      <c r="AN117" s="238"/>
      <c r="AO117" s="238"/>
      <c r="AP117" s="238"/>
      <c r="AQ117" s="238"/>
      <c r="AR117" s="238"/>
      <c r="AS117" s="238"/>
      <c r="AT117" s="238"/>
      <c r="AU117" s="238"/>
      <c r="AV117" s="238"/>
      <c r="AW117" s="238"/>
      <c r="AX117" s="238"/>
      <c r="AY117" s="238"/>
    </row>
    <row r="118" spans="1:51" s="7" customFormat="1" ht="42" customHeight="1" x14ac:dyDescent="0.2">
      <c r="A118" s="295"/>
      <c r="B118" s="296"/>
      <c r="C118" s="119"/>
      <c r="D118" s="299"/>
      <c r="E118" s="300"/>
      <c r="F118" s="57" t="str">
        <f t="shared" si="52"/>
        <v/>
      </c>
      <c r="G118" s="216" t="str">
        <f t="shared" si="59"/>
        <v/>
      </c>
      <c r="H118" s="366" t="str">
        <f t="shared" si="60"/>
        <v/>
      </c>
      <c r="I118" s="366" t="str">
        <f t="shared" si="61"/>
        <v/>
      </c>
      <c r="J118" s="366" t="str">
        <f t="shared" si="62"/>
        <v/>
      </c>
      <c r="K118" s="389">
        <f t="shared" si="63"/>
        <v>0</v>
      </c>
      <c r="L118" s="366">
        <f t="shared" si="64"/>
        <v>0</v>
      </c>
      <c r="M118" s="366"/>
      <c r="N118" s="366"/>
      <c r="O118" s="366"/>
      <c r="P118" s="366">
        <f t="shared" si="65"/>
        <v>0</v>
      </c>
      <c r="Q118" s="389" t="b">
        <f t="shared" si="66"/>
        <v>0</v>
      </c>
      <c r="R118" s="389" t="b">
        <f t="shared" si="67"/>
        <v>0</v>
      </c>
      <c r="S118" s="389" t="b">
        <f t="shared" si="68"/>
        <v>0</v>
      </c>
      <c r="T118" s="389"/>
      <c r="U118" s="389" t="b">
        <f t="shared" si="69"/>
        <v>1</v>
      </c>
      <c r="V118" s="389" t="b">
        <f t="shared" si="70"/>
        <v>1</v>
      </c>
      <c r="W118" s="389" t="b">
        <f t="shared" si="71"/>
        <v>1</v>
      </c>
      <c r="X118" s="389" t="b">
        <f t="shared" si="72"/>
        <v>1</v>
      </c>
      <c r="Y118" s="389" t="b">
        <f t="shared" si="73"/>
        <v>1</v>
      </c>
      <c r="Z118" s="389"/>
      <c r="AA118" s="389" t="b">
        <f t="shared" si="74"/>
        <v>0</v>
      </c>
      <c r="AB118" s="389"/>
      <c r="AC118" s="389"/>
      <c r="AD118" s="389"/>
      <c r="AE118" s="389"/>
      <c r="AF118" s="361"/>
      <c r="AG118" s="367"/>
      <c r="AH118" s="367"/>
      <c r="AI118" s="238"/>
      <c r="AJ118" s="238"/>
      <c r="AK118" s="238"/>
      <c r="AL118" s="238"/>
      <c r="AM118" s="238"/>
      <c r="AN118" s="238"/>
      <c r="AO118" s="238"/>
      <c r="AP118" s="238"/>
      <c r="AQ118" s="238"/>
      <c r="AR118" s="238"/>
      <c r="AS118" s="238"/>
      <c r="AT118" s="238"/>
      <c r="AU118" s="238"/>
      <c r="AV118" s="238"/>
      <c r="AW118" s="238"/>
      <c r="AX118" s="238"/>
      <c r="AY118" s="238"/>
    </row>
    <row r="119" spans="1:51" s="7" customFormat="1" ht="42" customHeight="1" x14ac:dyDescent="0.2">
      <c r="A119" s="295"/>
      <c r="B119" s="296"/>
      <c r="C119" s="301"/>
      <c r="D119" s="299"/>
      <c r="E119" s="300"/>
      <c r="F119" s="57" t="str">
        <f t="shared" si="52"/>
        <v/>
      </c>
      <c r="G119" s="216" t="str">
        <f t="shared" si="59"/>
        <v/>
      </c>
      <c r="H119" s="366" t="str">
        <f t="shared" si="60"/>
        <v/>
      </c>
      <c r="I119" s="366" t="str">
        <f t="shared" si="61"/>
        <v/>
      </c>
      <c r="J119" s="366" t="str">
        <f t="shared" si="62"/>
        <v/>
      </c>
      <c r="K119" s="389">
        <f t="shared" si="63"/>
        <v>0</v>
      </c>
      <c r="L119" s="366">
        <f t="shared" si="64"/>
        <v>0</v>
      </c>
      <c r="M119" s="366"/>
      <c r="N119" s="366"/>
      <c r="O119" s="366"/>
      <c r="P119" s="366">
        <f t="shared" si="65"/>
        <v>0</v>
      </c>
      <c r="Q119" s="389" t="b">
        <f t="shared" si="66"/>
        <v>0</v>
      </c>
      <c r="R119" s="389" t="b">
        <f t="shared" si="67"/>
        <v>0</v>
      </c>
      <c r="S119" s="389" t="b">
        <f t="shared" si="68"/>
        <v>0</v>
      </c>
      <c r="T119" s="389"/>
      <c r="U119" s="389" t="b">
        <f t="shared" si="69"/>
        <v>1</v>
      </c>
      <c r="V119" s="389" t="b">
        <f t="shared" si="70"/>
        <v>1</v>
      </c>
      <c r="W119" s="389" t="b">
        <f t="shared" si="71"/>
        <v>1</v>
      </c>
      <c r="X119" s="389" t="b">
        <f t="shared" si="72"/>
        <v>1</v>
      </c>
      <c r="Y119" s="389" t="b">
        <f t="shared" si="73"/>
        <v>1</v>
      </c>
      <c r="Z119" s="389"/>
      <c r="AA119" s="389" t="b">
        <f t="shared" si="74"/>
        <v>0</v>
      </c>
      <c r="AB119" s="389"/>
      <c r="AC119" s="389"/>
      <c r="AD119" s="389"/>
      <c r="AE119" s="389"/>
      <c r="AF119" s="361"/>
      <c r="AG119" s="367"/>
      <c r="AH119" s="367"/>
      <c r="AI119" s="238"/>
      <c r="AJ119" s="238"/>
      <c r="AK119" s="238"/>
      <c r="AL119" s="238"/>
      <c r="AM119" s="238"/>
      <c r="AN119" s="238"/>
      <c r="AO119" s="238"/>
      <c r="AP119" s="238"/>
      <c r="AQ119" s="238"/>
      <c r="AR119" s="238"/>
      <c r="AS119" s="238"/>
      <c r="AT119" s="238"/>
      <c r="AU119" s="238"/>
      <c r="AV119" s="238"/>
      <c r="AW119" s="238"/>
      <c r="AX119" s="238"/>
      <c r="AY119" s="238"/>
    </row>
    <row r="120" spans="1:51" s="7" customFormat="1" ht="42" customHeight="1" x14ac:dyDescent="0.2">
      <c r="A120" s="295"/>
      <c r="B120" s="296"/>
      <c r="C120" s="301"/>
      <c r="D120" s="299"/>
      <c r="E120" s="300"/>
      <c r="F120" s="57" t="str">
        <f t="shared" si="52"/>
        <v/>
      </c>
      <c r="G120" s="216" t="str">
        <f t="shared" si="59"/>
        <v/>
      </c>
      <c r="H120" s="366" t="str">
        <f t="shared" si="60"/>
        <v/>
      </c>
      <c r="I120" s="366" t="str">
        <f t="shared" si="61"/>
        <v/>
      </c>
      <c r="J120" s="366" t="str">
        <f t="shared" si="62"/>
        <v/>
      </c>
      <c r="K120" s="389">
        <f t="shared" si="63"/>
        <v>0</v>
      </c>
      <c r="L120" s="366">
        <f t="shared" si="64"/>
        <v>0</v>
      </c>
      <c r="M120" s="366"/>
      <c r="N120" s="366"/>
      <c r="O120" s="366"/>
      <c r="P120" s="366">
        <f t="shared" si="65"/>
        <v>0</v>
      </c>
      <c r="Q120" s="389" t="b">
        <f t="shared" si="66"/>
        <v>0</v>
      </c>
      <c r="R120" s="389" t="b">
        <f t="shared" si="67"/>
        <v>0</v>
      </c>
      <c r="S120" s="389" t="b">
        <f t="shared" si="68"/>
        <v>0</v>
      </c>
      <c r="T120" s="389"/>
      <c r="U120" s="389" t="b">
        <f t="shared" si="69"/>
        <v>1</v>
      </c>
      <c r="V120" s="389" t="b">
        <f t="shared" si="70"/>
        <v>1</v>
      </c>
      <c r="W120" s="389" t="b">
        <f t="shared" si="71"/>
        <v>1</v>
      </c>
      <c r="X120" s="389" t="b">
        <f t="shared" si="72"/>
        <v>1</v>
      </c>
      <c r="Y120" s="389" t="b">
        <f t="shared" si="73"/>
        <v>1</v>
      </c>
      <c r="Z120" s="389"/>
      <c r="AA120" s="389" t="b">
        <f t="shared" si="74"/>
        <v>0</v>
      </c>
      <c r="AB120" s="389"/>
      <c r="AC120" s="389"/>
      <c r="AD120" s="389"/>
      <c r="AE120" s="389"/>
      <c r="AF120" s="361"/>
      <c r="AG120" s="367"/>
      <c r="AH120" s="367"/>
      <c r="AI120" s="238"/>
      <c r="AJ120" s="238"/>
      <c r="AK120" s="238"/>
      <c r="AL120" s="238"/>
      <c r="AM120" s="238"/>
      <c r="AN120" s="238"/>
      <c r="AO120" s="238"/>
      <c r="AP120" s="238"/>
      <c r="AQ120" s="238"/>
      <c r="AR120" s="238"/>
      <c r="AS120" s="238"/>
      <c r="AT120" s="238"/>
      <c r="AU120" s="238"/>
      <c r="AV120" s="238"/>
      <c r="AW120" s="238"/>
      <c r="AX120" s="238"/>
      <c r="AY120" s="238"/>
    </row>
    <row r="121" spans="1:51" s="7" customFormat="1" ht="42" customHeight="1" x14ac:dyDescent="0.2">
      <c r="A121" s="302"/>
      <c r="B121" s="296"/>
      <c r="C121" s="301"/>
      <c r="D121" s="299"/>
      <c r="E121" s="300"/>
      <c r="F121" s="57" t="str">
        <f t="shared" si="52"/>
        <v/>
      </c>
      <c r="G121" s="216" t="str">
        <f t="shared" si="59"/>
        <v/>
      </c>
      <c r="H121" s="366" t="str">
        <f t="shared" si="60"/>
        <v/>
      </c>
      <c r="I121" s="366" t="str">
        <f t="shared" si="61"/>
        <v/>
      </c>
      <c r="J121" s="366" t="str">
        <f t="shared" si="62"/>
        <v/>
      </c>
      <c r="K121" s="389">
        <f t="shared" si="63"/>
        <v>0</v>
      </c>
      <c r="L121" s="366">
        <f t="shared" si="64"/>
        <v>0</v>
      </c>
      <c r="M121" s="366"/>
      <c r="N121" s="366"/>
      <c r="O121" s="366"/>
      <c r="P121" s="366">
        <f t="shared" si="65"/>
        <v>0</v>
      </c>
      <c r="Q121" s="389" t="b">
        <f t="shared" si="66"/>
        <v>0</v>
      </c>
      <c r="R121" s="389" t="b">
        <f t="shared" si="67"/>
        <v>0</v>
      </c>
      <c r="S121" s="389" t="b">
        <f t="shared" si="68"/>
        <v>0</v>
      </c>
      <c r="T121" s="389"/>
      <c r="U121" s="389" t="b">
        <f t="shared" si="69"/>
        <v>1</v>
      </c>
      <c r="V121" s="389" t="b">
        <f t="shared" si="70"/>
        <v>1</v>
      </c>
      <c r="W121" s="389" t="b">
        <f t="shared" si="71"/>
        <v>1</v>
      </c>
      <c r="X121" s="389" t="b">
        <f t="shared" si="72"/>
        <v>1</v>
      </c>
      <c r="Y121" s="389" t="b">
        <f t="shared" si="73"/>
        <v>1</v>
      </c>
      <c r="Z121" s="389"/>
      <c r="AA121" s="389" t="b">
        <f t="shared" si="74"/>
        <v>0</v>
      </c>
      <c r="AB121" s="389"/>
      <c r="AC121" s="389"/>
      <c r="AD121" s="389"/>
      <c r="AE121" s="389"/>
      <c r="AF121" s="361"/>
      <c r="AG121" s="367"/>
      <c r="AH121" s="367"/>
      <c r="AI121" s="238"/>
      <c r="AJ121" s="238"/>
      <c r="AK121" s="238"/>
      <c r="AL121" s="238"/>
      <c r="AM121" s="238"/>
      <c r="AN121" s="238"/>
      <c r="AO121" s="238"/>
      <c r="AP121" s="238"/>
      <c r="AQ121" s="238"/>
      <c r="AR121" s="238"/>
      <c r="AS121" s="238"/>
      <c r="AT121" s="238"/>
      <c r="AU121" s="238"/>
      <c r="AV121" s="238"/>
      <c r="AW121" s="238"/>
      <c r="AX121" s="238"/>
      <c r="AY121" s="238"/>
    </row>
    <row r="122" spans="1:51" s="7" customFormat="1" ht="44.25" customHeight="1" x14ac:dyDescent="0.2">
      <c r="A122" s="302"/>
      <c r="B122" s="296"/>
      <c r="C122" s="301"/>
      <c r="D122" s="299"/>
      <c r="E122" s="300"/>
      <c r="F122" s="57" t="str">
        <f t="shared" si="52"/>
        <v/>
      </c>
      <c r="G122" s="216" t="str">
        <f t="shared" si="59"/>
        <v/>
      </c>
      <c r="H122" s="366" t="str">
        <f t="shared" si="60"/>
        <v/>
      </c>
      <c r="I122" s="366" t="str">
        <f t="shared" si="61"/>
        <v/>
      </c>
      <c r="J122" s="366" t="str">
        <f t="shared" si="62"/>
        <v/>
      </c>
      <c r="K122" s="389">
        <f t="shared" si="63"/>
        <v>0</v>
      </c>
      <c r="L122" s="366">
        <f t="shared" si="64"/>
        <v>0</v>
      </c>
      <c r="M122" s="366"/>
      <c r="N122" s="366"/>
      <c r="O122" s="366"/>
      <c r="P122" s="366">
        <f t="shared" si="65"/>
        <v>0</v>
      </c>
      <c r="Q122" s="389" t="b">
        <f t="shared" si="66"/>
        <v>0</v>
      </c>
      <c r="R122" s="389" t="b">
        <f t="shared" si="67"/>
        <v>0</v>
      </c>
      <c r="S122" s="389" t="b">
        <f t="shared" si="68"/>
        <v>0</v>
      </c>
      <c r="T122" s="389"/>
      <c r="U122" s="389" t="b">
        <f t="shared" si="69"/>
        <v>1</v>
      </c>
      <c r="V122" s="389" t="b">
        <f t="shared" si="70"/>
        <v>1</v>
      </c>
      <c r="W122" s="389" t="b">
        <f t="shared" si="71"/>
        <v>1</v>
      </c>
      <c r="X122" s="389" t="b">
        <f t="shared" si="72"/>
        <v>1</v>
      </c>
      <c r="Y122" s="389" t="b">
        <f t="shared" si="73"/>
        <v>1</v>
      </c>
      <c r="Z122" s="389"/>
      <c r="AA122" s="389" t="b">
        <f t="shared" si="74"/>
        <v>0</v>
      </c>
      <c r="AB122" s="389"/>
      <c r="AC122" s="389"/>
      <c r="AD122" s="389"/>
      <c r="AE122" s="389"/>
      <c r="AF122" s="361"/>
      <c r="AG122" s="367"/>
      <c r="AH122" s="367"/>
      <c r="AI122" s="238"/>
      <c r="AJ122" s="238"/>
      <c r="AK122" s="238"/>
      <c r="AL122" s="238"/>
      <c r="AM122" s="238"/>
      <c r="AN122" s="238"/>
      <c r="AO122" s="238"/>
      <c r="AP122" s="238"/>
      <c r="AQ122" s="238"/>
      <c r="AR122" s="238"/>
      <c r="AS122" s="238"/>
      <c r="AT122" s="238"/>
      <c r="AU122" s="238"/>
      <c r="AV122" s="238"/>
      <c r="AW122" s="238"/>
      <c r="AX122" s="238"/>
      <c r="AY122" s="238"/>
    </row>
    <row r="123" spans="1:51" s="7" customFormat="1" ht="44.25" customHeight="1" x14ac:dyDescent="0.2">
      <c r="A123" s="302"/>
      <c r="B123" s="296"/>
      <c r="C123" s="301"/>
      <c r="D123" s="299"/>
      <c r="E123" s="300"/>
      <c r="F123" s="57" t="str">
        <f t="shared" si="52"/>
        <v/>
      </c>
      <c r="G123" s="216" t="str">
        <f t="shared" si="59"/>
        <v/>
      </c>
      <c r="H123" s="366" t="str">
        <f t="shared" si="60"/>
        <v/>
      </c>
      <c r="I123" s="366" t="str">
        <f t="shared" si="61"/>
        <v/>
      </c>
      <c r="J123" s="366" t="str">
        <f t="shared" si="62"/>
        <v/>
      </c>
      <c r="K123" s="389">
        <f t="shared" si="63"/>
        <v>0</v>
      </c>
      <c r="L123" s="366">
        <f t="shared" si="64"/>
        <v>0</v>
      </c>
      <c r="M123" s="366"/>
      <c r="N123" s="366"/>
      <c r="O123" s="366"/>
      <c r="P123" s="366">
        <f t="shared" si="65"/>
        <v>0</v>
      </c>
      <c r="Q123" s="389" t="b">
        <f t="shared" si="66"/>
        <v>0</v>
      </c>
      <c r="R123" s="389" t="b">
        <f t="shared" si="67"/>
        <v>0</v>
      </c>
      <c r="S123" s="389" t="b">
        <f t="shared" si="68"/>
        <v>0</v>
      </c>
      <c r="T123" s="389"/>
      <c r="U123" s="389" t="b">
        <f t="shared" si="69"/>
        <v>1</v>
      </c>
      <c r="V123" s="389" t="b">
        <f t="shared" si="70"/>
        <v>1</v>
      </c>
      <c r="W123" s="389" t="b">
        <f t="shared" si="71"/>
        <v>1</v>
      </c>
      <c r="X123" s="389" t="b">
        <f t="shared" si="72"/>
        <v>1</v>
      </c>
      <c r="Y123" s="389" t="b">
        <f t="shared" si="73"/>
        <v>1</v>
      </c>
      <c r="Z123" s="389"/>
      <c r="AA123" s="389" t="b">
        <f t="shared" si="74"/>
        <v>0</v>
      </c>
      <c r="AB123" s="389"/>
      <c r="AC123" s="389"/>
      <c r="AD123" s="389"/>
      <c r="AE123" s="389"/>
      <c r="AF123" s="361"/>
      <c r="AG123" s="367"/>
      <c r="AH123" s="367"/>
      <c r="AI123" s="238"/>
      <c r="AJ123" s="238"/>
      <c r="AK123" s="238"/>
      <c r="AL123" s="238"/>
      <c r="AM123" s="238"/>
      <c r="AN123" s="238"/>
      <c r="AO123" s="238"/>
      <c r="AP123" s="238"/>
      <c r="AQ123" s="238"/>
      <c r="AR123" s="238"/>
      <c r="AS123" s="238"/>
      <c r="AT123" s="238"/>
      <c r="AU123" s="238"/>
      <c r="AV123" s="238"/>
      <c r="AW123" s="238"/>
      <c r="AX123" s="238"/>
      <c r="AY123" s="238"/>
    </row>
    <row r="124" spans="1:51" s="7" customFormat="1" ht="44.25" customHeight="1" thickBot="1" x14ac:dyDescent="0.25">
      <c r="A124" s="302"/>
      <c r="B124" s="296"/>
      <c r="C124" s="303"/>
      <c r="D124" s="304"/>
      <c r="E124" s="305"/>
      <c r="F124" s="280" t="str">
        <f t="shared" si="52"/>
        <v/>
      </c>
      <c r="G124" s="216" t="str">
        <f t="shared" si="59"/>
        <v/>
      </c>
      <c r="H124" s="366" t="str">
        <f t="shared" si="60"/>
        <v/>
      </c>
      <c r="I124" s="366" t="str">
        <f t="shared" si="61"/>
        <v/>
      </c>
      <c r="J124" s="366" t="str">
        <f t="shared" si="62"/>
        <v/>
      </c>
      <c r="K124" s="389">
        <f t="shared" si="63"/>
        <v>0</v>
      </c>
      <c r="L124" s="366">
        <f t="shared" si="64"/>
        <v>0</v>
      </c>
      <c r="M124" s="366"/>
      <c r="N124" s="366"/>
      <c r="O124" s="366"/>
      <c r="P124" s="366">
        <f t="shared" si="65"/>
        <v>0</v>
      </c>
      <c r="Q124" s="389" t="b">
        <f t="shared" si="66"/>
        <v>0</v>
      </c>
      <c r="R124" s="389" t="b">
        <f t="shared" si="67"/>
        <v>0</v>
      </c>
      <c r="S124" s="389" t="b">
        <f t="shared" si="68"/>
        <v>0</v>
      </c>
      <c r="T124" s="389"/>
      <c r="U124" s="389" t="b">
        <f t="shared" si="69"/>
        <v>1</v>
      </c>
      <c r="V124" s="389" t="b">
        <f t="shared" si="70"/>
        <v>1</v>
      </c>
      <c r="W124" s="389" t="b">
        <f t="shared" si="71"/>
        <v>1</v>
      </c>
      <c r="X124" s="389" t="b">
        <f t="shared" si="72"/>
        <v>1</v>
      </c>
      <c r="Y124" s="389" t="b">
        <f t="shared" si="73"/>
        <v>1</v>
      </c>
      <c r="Z124" s="389"/>
      <c r="AA124" s="389" t="b">
        <f t="shared" si="74"/>
        <v>0</v>
      </c>
      <c r="AB124" s="389"/>
      <c r="AC124" s="389"/>
      <c r="AD124" s="389"/>
      <c r="AE124" s="389"/>
      <c r="AF124" s="361"/>
      <c r="AG124" s="367"/>
      <c r="AH124" s="367"/>
      <c r="AI124" s="238"/>
      <c r="AJ124" s="238"/>
      <c r="AK124" s="238"/>
      <c r="AL124" s="238"/>
      <c r="AM124" s="238"/>
      <c r="AN124" s="238"/>
      <c r="AO124" s="238"/>
      <c r="AP124" s="238"/>
      <c r="AQ124" s="238"/>
      <c r="AR124" s="238"/>
      <c r="AS124" s="238"/>
      <c r="AT124" s="238"/>
      <c r="AU124" s="238"/>
      <c r="AV124" s="238"/>
      <c r="AW124" s="238"/>
      <c r="AX124" s="238"/>
      <c r="AY124" s="238"/>
    </row>
    <row r="125" spans="1:51" s="7" customFormat="1" ht="21" customHeight="1" thickBot="1" x14ac:dyDescent="0.25">
      <c r="A125" s="329"/>
      <c r="B125" s="330"/>
      <c r="C125" s="331"/>
      <c r="D125" s="331"/>
      <c r="E125" s="332"/>
      <c r="F125" s="333"/>
      <c r="G125" s="216"/>
      <c r="H125" s="366"/>
      <c r="I125" s="366"/>
      <c r="J125" s="366"/>
      <c r="K125" s="389"/>
      <c r="L125" s="366"/>
      <c r="M125" s="366"/>
      <c r="N125" s="366"/>
      <c r="O125" s="366"/>
      <c r="P125" s="366"/>
      <c r="Q125" s="389"/>
      <c r="R125" s="389"/>
      <c r="S125" s="389"/>
      <c r="T125" s="389"/>
      <c r="U125" s="389"/>
      <c r="V125" s="389"/>
      <c r="W125" s="389"/>
      <c r="X125" s="389"/>
      <c r="Y125" s="389"/>
      <c r="Z125" s="389"/>
      <c r="AA125" s="389"/>
      <c r="AB125" s="389"/>
      <c r="AC125" s="389"/>
      <c r="AD125" s="389"/>
      <c r="AE125" s="389"/>
      <c r="AF125" s="361"/>
      <c r="AG125" s="367"/>
      <c r="AH125" s="367"/>
      <c r="AI125" s="238"/>
      <c r="AJ125" s="238"/>
      <c r="AK125" s="238"/>
      <c r="AL125" s="238"/>
      <c r="AM125" s="238"/>
      <c r="AN125" s="238"/>
      <c r="AO125" s="238"/>
      <c r="AP125" s="238"/>
      <c r="AQ125" s="238"/>
      <c r="AR125" s="238"/>
      <c r="AS125" s="238"/>
      <c r="AT125" s="238"/>
      <c r="AU125" s="238"/>
      <c r="AV125" s="238"/>
      <c r="AW125" s="238"/>
      <c r="AX125" s="238"/>
      <c r="AY125" s="238"/>
    </row>
    <row r="126" spans="1:51" s="8" customFormat="1" ht="18.95" customHeight="1" x14ac:dyDescent="0.2">
      <c r="A126" s="64" t="s">
        <v>421</v>
      </c>
      <c r="B126" s="163"/>
      <c r="C126" s="18"/>
      <c r="D126" s="18"/>
      <c r="E126" s="67" t="s">
        <v>14</v>
      </c>
      <c r="F126" s="281">
        <f>F127+F128+F129+F130+F131</f>
        <v>0</v>
      </c>
      <c r="G126" s="227"/>
      <c r="H126" s="366"/>
      <c r="I126" s="366"/>
      <c r="J126" s="366"/>
      <c r="K126" s="366"/>
      <c r="L126" s="366"/>
      <c r="M126" s="366"/>
      <c r="N126" s="367"/>
      <c r="O126" s="367"/>
      <c r="P126" s="367"/>
      <c r="Q126" s="367"/>
      <c r="R126" s="367"/>
      <c r="S126" s="367"/>
      <c r="T126" s="367"/>
      <c r="U126" s="367"/>
      <c r="V126" s="367"/>
      <c r="W126" s="367"/>
      <c r="X126" s="367"/>
      <c r="Y126" s="367"/>
      <c r="Z126" s="367"/>
      <c r="AA126" s="367"/>
      <c r="AB126" s="367"/>
      <c r="AC126" s="367"/>
      <c r="AD126" s="367"/>
      <c r="AE126" s="367"/>
      <c r="AF126" s="383"/>
      <c r="AG126" s="383"/>
      <c r="AH126" s="383"/>
      <c r="AI126" s="239"/>
      <c r="AJ126" s="239"/>
      <c r="AK126" s="239"/>
      <c r="AL126" s="239"/>
      <c r="AM126" s="239"/>
      <c r="AN126" s="239"/>
      <c r="AO126" s="239"/>
      <c r="AP126" s="239"/>
      <c r="AQ126" s="239"/>
      <c r="AR126" s="239"/>
      <c r="AS126" s="239"/>
      <c r="AT126" s="239"/>
      <c r="AU126" s="239"/>
      <c r="AV126" s="239"/>
      <c r="AW126" s="239"/>
      <c r="AX126" s="239"/>
      <c r="AY126" s="239"/>
    </row>
    <row r="127" spans="1:51" s="8" customFormat="1" ht="18.95" customHeight="1" x14ac:dyDescent="0.2">
      <c r="A127" s="275"/>
      <c r="B127" s="276"/>
      <c r="C127" s="283" t="s">
        <v>468</v>
      </c>
      <c r="D127" s="22"/>
      <c r="E127" s="113" t="s">
        <v>404</v>
      </c>
      <c r="F127" s="282">
        <f>SUMIF(C133:C139,"Session Arranger (Enter number arranged) ==&gt;",F133:F139)</f>
        <v>0</v>
      </c>
      <c r="G127" s="227"/>
      <c r="H127" s="366"/>
      <c r="I127" s="366"/>
      <c r="J127" s="366"/>
      <c r="K127" s="366"/>
      <c r="L127" s="366"/>
      <c r="M127" s="366"/>
      <c r="N127" s="367"/>
      <c r="O127" s="367"/>
      <c r="P127" s="367"/>
      <c r="Q127" s="367"/>
      <c r="R127" s="367"/>
      <c r="S127" s="367"/>
      <c r="T127" s="367"/>
      <c r="U127" s="367"/>
      <c r="V127" s="367"/>
      <c r="W127" s="367"/>
      <c r="X127" s="367"/>
      <c r="Y127" s="367"/>
      <c r="Z127" s="367"/>
      <c r="AA127" s="367"/>
      <c r="AB127" s="367"/>
      <c r="AC127" s="367"/>
      <c r="AD127" s="367"/>
      <c r="AE127" s="367"/>
      <c r="AF127" s="383"/>
      <c r="AG127" s="383"/>
      <c r="AH127" s="383"/>
      <c r="AI127" s="239"/>
      <c r="AJ127" s="239"/>
      <c r="AK127" s="239"/>
      <c r="AL127" s="239"/>
      <c r="AM127" s="239"/>
      <c r="AN127" s="239"/>
      <c r="AO127" s="239"/>
      <c r="AP127" s="239"/>
      <c r="AQ127" s="239"/>
      <c r="AR127" s="239"/>
      <c r="AS127" s="239"/>
      <c r="AT127" s="239"/>
      <c r="AU127" s="239"/>
      <c r="AV127" s="239"/>
      <c r="AW127" s="239"/>
      <c r="AX127" s="239"/>
      <c r="AY127" s="239"/>
    </row>
    <row r="128" spans="1:51" s="8" customFormat="1" ht="18.95" customHeight="1" x14ac:dyDescent="0.2">
      <c r="A128" s="275"/>
      <c r="B128" s="276"/>
      <c r="C128" s="22"/>
      <c r="D128" s="22"/>
      <c r="E128" s="113" t="s">
        <v>406</v>
      </c>
      <c r="F128" s="282">
        <f>MIN(SUMIF(C133:C139,"Pro bono work (Enter number of hours) ==&gt;",F133:F139),10)</f>
        <v>0</v>
      </c>
      <c r="G128" s="220" t="str">
        <f>IF(F128&gt;=10,"10 point cycle maximum has been reached.","")</f>
        <v/>
      </c>
      <c r="H128" s="366"/>
      <c r="I128" s="366"/>
      <c r="J128" s="366"/>
      <c r="K128" s="366"/>
      <c r="L128" s="366"/>
      <c r="M128" s="366"/>
      <c r="N128" s="367"/>
      <c r="O128" s="367"/>
      <c r="P128" s="367"/>
      <c r="Q128" s="367"/>
      <c r="R128" s="367"/>
      <c r="S128" s="367"/>
      <c r="T128" s="367"/>
      <c r="U128" s="367"/>
      <c r="V128" s="367"/>
      <c r="W128" s="367"/>
      <c r="X128" s="367"/>
      <c r="Y128" s="367"/>
      <c r="Z128" s="367"/>
      <c r="AA128" s="367"/>
      <c r="AB128" s="367"/>
      <c r="AC128" s="367"/>
      <c r="AD128" s="367"/>
      <c r="AE128" s="367"/>
      <c r="AF128" s="383"/>
      <c r="AG128" s="383"/>
      <c r="AH128" s="383"/>
      <c r="AI128" s="239"/>
      <c r="AJ128" s="239"/>
      <c r="AK128" s="239"/>
      <c r="AL128" s="239"/>
      <c r="AM128" s="239"/>
      <c r="AN128" s="239"/>
      <c r="AO128" s="239"/>
      <c r="AP128" s="239"/>
      <c r="AQ128" s="239"/>
      <c r="AR128" s="239"/>
      <c r="AS128" s="239"/>
      <c r="AT128" s="239"/>
      <c r="AU128" s="239"/>
      <c r="AV128" s="239"/>
      <c r="AW128" s="239"/>
      <c r="AX128" s="239"/>
      <c r="AY128" s="239"/>
    </row>
    <row r="129" spans="1:51" s="8" customFormat="1" ht="18.95" customHeight="1" x14ac:dyDescent="0.2">
      <c r="A129" s="275"/>
      <c r="B129" s="276"/>
      <c r="C129" s="22"/>
      <c r="D129" s="22"/>
      <c r="E129" s="113" t="s">
        <v>407</v>
      </c>
      <c r="F129" s="282">
        <f>MIN(SUMIF(C133:C139,"Mentoring (Enter number of hours) ==&gt;",F133:F139),5)</f>
        <v>0</v>
      </c>
      <c r="G129" s="220" t="str">
        <f>IF(F129&gt;=5,"5 point cycle maximum has been reached.","")</f>
        <v/>
      </c>
      <c r="H129" s="366"/>
      <c r="I129" s="366"/>
      <c r="J129" s="366"/>
      <c r="K129" s="366"/>
      <c r="L129" s="366"/>
      <c r="M129" s="366"/>
      <c r="N129" s="367"/>
      <c r="O129" s="367"/>
      <c r="P129" s="367"/>
      <c r="Q129" s="367"/>
      <c r="R129" s="367"/>
      <c r="S129" s="367"/>
      <c r="T129" s="367"/>
      <c r="U129" s="367"/>
      <c r="V129" s="367"/>
      <c r="W129" s="367"/>
      <c r="X129" s="367"/>
      <c r="Y129" s="367"/>
      <c r="Z129" s="367"/>
      <c r="AA129" s="367"/>
      <c r="AB129" s="367"/>
      <c r="AC129" s="367"/>
      <c r="AD129" s="367"/>
      <c r="AE129" s="367"/>
      <c r="AF129" s="383"/>
      <c r="AG129" s="383"/>
      <c r="AH129" s="383"/>
      <c r="AI129" s="239"/>
      <c r="AJ129" s="239"/>
      <c r="AK129" s="239"/>
      <c r="AL129" s="239"/>
      <c r="AM129" s="239"/>
      <c r="AN129" s="239"/>
      <c r="AO129" s="239"/>
      <c r="AP129" s="239"/>
      <c r="AQ129" s="239"/>
      <c r="AR129" s="239"/>
      <c r="AS129" s="239"/>
      <c r="AT129" s="239"/>
      <c r="AU129" s="239"/>
      <c r="AV129" s="239"/>
      <c r="AW129" s="239"/>
      <c r="AX129" s="239"/>
      <c r="AY129" s="239"/>
    </row>
    <row r="130" spans="1:51" s="8" customFormat="1" ht="18.95" customHeight="1" x14ac:dyDescent="0.2">
      <c r="A130" s="275"/>
      <c r="B130" s="276"/>
      <c r="C130" s="22"/>
      <c r="D130" s="22"/>
      <c r="E130" s="113" t="s">
        <v>408</v>
      </c>
      <c r="F130" s="282">
        <f>SUMIF(C133:C139,"Related Exams (Enter length in  hours) ==&gt;",F133:F139)</f>
        <v>0</v>
      </c>
      <c r="G130" s="220" t="str">
        <f>IF(F130&gt;=25,"25 point cycle maximum has been reached.","")</f>
        <v/>
      </c>
      <c r="H130" s="366"/>
      <c r="I130" s="366"/>
      <c r="J130" s="366"/>
      <c r="K130" s="383" t="s">
        <v>305</v>
      </c>
      <c r="L130" s="383"/>
      <c r="M130" s="383"/>
      <c r="N130" s="383"/>
      <c r="O130" s="383"/>
      <c r="P130" s="383"/>
      <c r="Q130" s="383"/>
      <c r="R130" s="367"/>
      <c r="S130" s="367"/>
      <c r="T130" s="367"/>
      <c r="U130" s="367"/>
      <c r="V130" s="367"/>
      <c r="W130" s="367" t="s">
        <v>455</v>
      </c>
      <c r="X130" s="367"/>
      <c r="Y130" s="367"/>
      <c r="Z130" s="367"/>
      <c r="AA130" s="367"/>
      <c r="AB130" s="367" t="s">
        <v>411</v>
      </c>
      <c r="AC130" s="367" t="s">
        <v>410</v>
      </c>
      <c r="AD130" s="367"/>
      <c r="AE130" s="383"/>
      <c r="AF130" s="383"/>
      <c r="AG130" s="383"/>
      <c r="AH130" s="383" t="s">
        <v>275</v>
      </c>
      <c r="AI130" s="239"/>
      <c r="AJ130" s="239"/>
      <c r="AK130" s="239"/>
      <c r="AL130" s="239"/>
      <c r="AM130" s="239"/>
      <c r="AN130" s="239"/>
      <c r="AO130" s="239"/>
      <c r="AP130" s="239"/>
      <c r="AQ130" s="239"/>
      <c r="AR130" s="239"/>
      <c r="AS130" s="239"/>
      <c r="AT130" s="239"/>
      <c r="AU130" s="239"/>
      <c r="AV130" s="239"/>
      <c r="AW130" s="239"/>
      <c r="AX130" s="239"/>
      <c r="AY130" s="239"/>
    </row>
    <row r="131" spans="1:51" s="8" customFormat="1" ht="18.95" customHeight="1" x14ac:dyDescent="0.2">
      <c r="A131" s="275"/>
      <c r="B131" s="276"/>
      <c r="C131" s="22"/>
      <c r="D131" s="22"/>
      <c r="E131" s="113" t="s">
        <v>405</v>
      </c>
      <c r="F131" s="282">
        <f>MIN(SUMIF(C143:C147,"CPPS Exam Questions Accepted",F143:F147),25)</f>
        <v>0</v>
      </c>
      <c r="G131" s="220" t="str">
        <f>IF(F131&gt;=25,"25 point cycle maximum has been reached.","")</f>
        <v/>
      </c>
      <c r="H131" s="366"/>
      <c r="I131" s="366"/>
      <c r="J131" s="366"/>
      <c r="K131" s="389" t="s">
        <v>40</v>
      </c>
      <c r="L131" s="389"/>
      <c r="M131" s="389" t="s">
        <v>25</v>
      </c>
      <c r="N131" s="389"/>
      <c r="O131" s="389"/>
      <c r="P131" s="383"/>
      <c r="Q131" s="394" t="s">
        <v>398</v>
      </c>
      <c r="R131" s="364" t="s">
        <v>417</v>
      </c>
      <c r="S131" s="364" t="s">
        <v>418</v>
      </c>
      <c r="T131" s="364" t="s">
        <v>419</v>
      </c>
      <c r="U131" s="364" t="s">
        <v>420</v>
      </c>
      <c r="V131" s="364" t="s">
        <v>454</v>
      </c>
      <c r="W131" s="364" t="s">
        <v>417</v>
      </c>
      <c r="X131" s="364" t="s">
        <v>418</v>
      </c>
      <c r="Y131" s="364" t="s">
        <v>419</v>
      </c>
      <c r="Z131" s="364" t="s">
        <v>420</v>
      </c>
      <c r="AA131" s="364" t="s">
        <v>454</v>
      </c>
      <c r="AB131" s="367"/>
      <c r="AC131" s="364" t="s">
        <v>417</v>
      </c>
      <c r="AD131" s="364" t="s">
        <v>418</v>
      </c>
      <c r="AE131" s="364" t="s">
        <v>419</v>
      </c>
      <c r="AF131" s="364" t="s">
        <v>420</v>
      </c>
      <c r="AG131" s="364" t="s">
        <v>454</v>
      </c>
      <c r="AH131" s="383" t="s">
        <v>275</v>
      </c>
      <c r="AI131" s="239"/>
      <c r="AJ131" s="239"/>
      <c r="AK131" s="239"/>
      <c r="AL131" s="239"/>
      <c r="AM131" s="239"/>
      <c r="AN131" s="239"/>
      <c r="AO131" s="239"/>
      <c r="AP131" s="239"/>
      <c r="AQ131" s="239"/>
      <c r="AR131" s="239"/>
      <c r="AS131" s="239"/>
      <c r="AT131" s="239"/>
      <c r="AU131" s="239"/>
      <c r="AV131" s="239"/>
      <c r="AW131" s="239"/>
      <c r="AX131" s="239"/>
      <c r="AY131" s="239"/>
    </row>
    <row r="132" spans="1:51" s="12" customFormat="1" ht="33.75" customHeight="1" x14ac:dyDescent="0.2">
      <c r="A132" s="102" t="s">
        <v>310</v>
      </c>
      <c r="B132" s="278" t="s">
        <v>315</v>
      </c>
      <c r="C132" s="102" t="s">
        <v>318</v>
      </c>
      <c r="D132" s="102" t="s">
        <v>430</v>
      </c>
      <c r="E132" s="279"/>
      <c r="F132" s="56" t="s">
        <v>4</v>
      </c>
      <c r="G132" s="220"/>
      <c r="H132" s="366"/>
      <c r="I132" s="366"/>
      <c r="J132" s="366"/>
      <c r="K132" s="366"/>
      <c r="L132" s="366"/>
      <c r="M132" s="366"/>
      <c r="N132" s="366"/>
      <c r="O132" s="366"/>
      <c r="P132" s="366"/>
      <c r="Q132" s="366"/>
      <c r="R132" s="366"/>
      <c r="S132" s="366"/>
      <c r="T132" s="366"/>
      <c r="U132" s="366"/>
      <c r="V132" s="366"/>
      <c r="W132" s="366">
        <v>0.5</v>
      </c>
      <c r="X132" s="366">
        <f>1/6</f>
        <v>0.16666666666666666</v>
      </c>
      <c r="Y132" s="366">
        <v>0.5</v>
      </c>
      <c r="Z132" s="366">
        <f>1/6</f>
        <v>0.16666666666666666</v>
      </c>
      <c r="AA132" s="366">
        <v>0.5</v>
      </c>
      <c r="AB132" s="383"/>
      <c r="AC132" s="366"/>
      <c r="AD132" s="366">
        <v>1</v>
      </c>
      <c r="AE132" s="366"/>
      <c r="AF132" s="366">
        <v>10</v>
      </c>
      <c r="AG132" s="366"/>
      <c r="AH132" s="366"/>
      <c r="AI132" s="240"/>
      <c r="AJ132" s="240"/>
      <c r="AK132" s="240"/>
      <c r="AL132" s="240"/>
      <c r="AM132" s="240"/>
      <c r="AN132" s="240"/>
      <c r="AO132" s="240"/>
      <c r="AP132" s="240"/>
      <c r="AQ132" s="240"/>
      <c r="AR132" s="240"/>
      <c r="AS132" s="240"/>
      <c r="AT132" s="240"/>
      <c r="AU132" s="240"/>
      <c r="AV132" s="240"/>
      <c r="AW132" s="240"/>
      <c r="AX132" s="240"/>
      <c r="AY132" s="240"/>
    </row>
    <row r="133" spans="1:51" s="7" customFormat="1" ht="47.1" customHeight="1" x14ac:dyDescent="0.2">
      <c r="A133" s="295"/>
      <c r="B133" s="296"/>
      <c r="C133" s="119"/>
      <c r="D133" s="408"/>
      <c r="E133" s="344" t="str">
        <f>IF(U133=TRUE,"Enter your pro bono organization, here. ","")&amp; IF(S133=TRUE,"Enter your mentor organization, here. ","")&amp; IF(T133=TRUE,"Enter the exam name, here. ","")</f>
        <v/>
      </c>
      <c r="F133" s="57" t="str">
        <f>IF(D133=0,"",AH133)</f>
        <v/>
      </c>
      <c r="G133" s="216" t="str">
        <f>IF(OR(A133="",B133=""),IF(Q133=TRUE,"You are missing dates for your CM points. ",""),IF(O133=TRUE,"Dates entered are not consistent with your CM Cycle Dates. ",""))&amp;IF(NOT(AB133=AH133),"The maximum value for this item has been reached. "," ")</f>
        <v xml:space="preserve"> </v>
      </c>
      <c r="H133" s="366" t="b">
        <f>OR(C133="Arrange one session",C133="Mentoring (1 point/6 hours for each Mentee)",C133="Related Exams",C133="Pro bono work hours")</f>
        <v>0</v>
      </c>
      <c r="I133" s="366"/>
      <c r="J133" s="366"/>
      <c r="K133" s="389" t="b">
        <f t="shared" ref="K133:K139" si="75">AND(A133&lt;CMSTART)</f>
        <v>1</v>
      </c>
      <c r="L133" s="389" t="b">
        <f t="shared" ref="L133:L139" si="76">AND(A133&gt;CMEND)</f>
        <v>0</v>
      </c>
      <c r="M133" s="389" t="b">
        <f t="shared" ref="M133:M139" si="77">AND(B133&lt;CMSTART)</f>
        <v>1</v>
      </c>
      <c r="N133" s="389" t="b">
        <f t="shared" ref="N133:N139" si="78">OR(B133&gt;CMEND,B133&lt;A133)</f>
        <v>0</v>
      </c>
      <c r="O133" s="389" t="b">
        <f>OR(K133=TRUE,L133=TRUE,M133=TRUE,N133=TRUE)</f>
        <v>1</v>
      </c>
      <c r="P133" s="395"/>
      <c r="Q133" s="366" t="b">
        <f>IF(AND(OR(A133="",B133=""),NOT(F133="")),TRUE,FALSE)</f>
        <v>0</v>
      </c>
      <c r="R133" s="366" t="b">
        <f>OR($C133=R$131)</f>
        <v>0</v>
      </c>
      <c r="S133" s="366" t="b">
        <f>OR($C133=S$131)</f>
        <v>0</v>
      </c>
      <c r="T133" s="366" t="b">
        <f>OR($C133=T$131)</f>
        <v>0</v>
      </c>
      <c r="U133" s="366" t="b">
        <f>OR($C133=U$131)</f>
        <v>0</v>
      </c>
      <c r="V133" s="366" t="b">
        <f>OR($C133=V$131)</f>
        <v>0</v>
      </c>
      <c r="W133" s="366">
        <f>IF($C133=W$131,$D133*W$132,0)</f>
        <v>0</v>
      </c>
      <c r="X133" s="366">
        <f>IF($C133=X$131,MIN(ROUNDDOWN($D133/6,0),5),0)</f>
        <v>0</v>
      </c>
      <c r="Y133" s="366">
        <f>IF($C133=Y$131,$D133*Y$132,0)</f>
        <v>0</v>
      </c>
      <c r="Z133" s="366">
        <v>1</v>
      </c>
      <c r="AA133" s="366">
        <f>IF($C133=AA$131,$D133*AA$132,0)</f>
        <v>0</v>
      </c>
      <c r="AB133" s="366">
        <f>SUM(W133:AA133)</f>
        <v>1</v>
      </c>
      <c r="AC133" s="366">
        <f t="shared" ref="AC133" si="79">W133</f>
        <v>0</v>
      </c>
      <c r="AD133" s="366">
        <f>MIN(X133,5)</f>
        <v>0</v>
      </c>
      <c r="AE133" s="366">
        <f t="shared" ref="AE133" si="80">Y133</f>
        <v>0</v>
      </c>
      <c r="AF133" s="366">
        <f t="shared" ref="AF133" si="81">MIN(Z133,AF$132)</f>
        <v>1</v>
      </c>
      <c r="AG133" s="366">
        <f>AA133</f>
        <v>0</v>
      </c>
      <c r="AH133" s="366">
        <f>SUM(AC133:AG133)</f>
        <v>1</v>
      </c>
      <c r="AI133" s="238"/>
      <c r="AJ133" s="238"/>
      <c r="AK133" s="238"/>
      <c r="AL133" s="238"/>
      <c r="AM133" s="238"/>
      <c r="AN133" s="238"/>
      <c r="AO133" s="238"/>
      <c r="AP133" s="238"/>
      <c r="AQ133" s="238"/>
      <c r="AR133" s="238"/>
      <c r="AS133" s="238"/>
      <c r="AT133" s="238"/>
      <c r="AU133" s="238"/>
      <c r="AV133" s="238"/>
      <c r="AW133" s="238"/>
      <c r="AX133" s="238"/>
      <c r="AY133" s="238"/>
    </row>
    <row r="134" spans="1:51" s="7" customFormat="1" ht="47.1" customHeight="1" x14ac:dyDescent="0.2">
      <c r="A134" s="295"/>
      <c r="B134" s="296"/>
      <c r="C134" s="119"/>
      <c r="D134" s="408"/>
      <c r="E134" s="344" t="str">
        <f t="shared" ref="E134:E138" si="82">IF(U134=TRUE,"Enter your pro bono organization, here. ","")&amp; IF(S134=TRUE,"Enter your mentor organization, here. ","")&amp; IF(T134=TRUE,"Enter the exam name, here. ","")</f>
        <v/>
      </c>
      <c r="F134" s="57" t="str">
        <f t="shared" ref="F134:F139" si="83">IF(D134=0,"",AH134)</f>
        <v/>
      </c>
      <c r="G134" s="216" t="str">
        <f t="shared" ref="G134:G139" si="84">IF(OR(A134="",B134=""),IF(Q134=TRUE,"You are missing dates for your CM points. ",""),IF(O134=TRUE,"Dates entered are not consistent with your CM Cycle Dates. ",""))&amp;IF(NOT(AB134=AH134),"The maximum value for this item has been reached. "," ")</f>
        <v xml:space="preserve"> </v>
      </c>
      <c r="H134" s="366" t="b">
        <f t="shared" ref="H134:H139" si="85">OR(C134="Arrange one session",C134="Mentoring (1 point/6 hours for each Mentee)",C134="Related Exams",C134="Pro bono work hours")</f>
        <v>0</v>
      </c>
      <c r="I134" s="366"/>
      <c r="J134" s="366"/>
      <c r="K134" s="389" t="b">
        <f t="shared" si="75"/>
        <v>1</v>
      </c>
      <c r="L134" s="389" t="b">
        <f t="shared" si="76"/>
        <v>0</v>
      </c>
      <c r="M134" s="389" t="b">
        <f t="shared" si="77"/>
        <v>1</v>
      </c>
      <c r="N134" s="389" t="b">
        <f t="shared" si="78"/>
        <v>0</v>
      </c>
      <c r="O134" s="389" t="b">
        <f t="shared" ref="O134:O139" si="86">OR(K134=TRUE,L134=TRUE,M134=TRUE,N134=TRUE)</f>
        <v>1</v>
      </c>
      <c r="P134" s="395"/>
      <c r="Q134" s="366" t="b">
        <f t="shared" ref="Q134:Q139" si="87">IF(AND(OR(A134="",B134=""),NOT(F134="")),TRUE,FALSE)</f>
        <v>0</v>
      </c>
      <c r="R134" s="366" t="b">
        <f t="shared" ref="R134:V139" si="88">OR($C134=R$131)</f>
        <v>0</v>
      </c>
      <c r="S134" s="366" t="b">
        <f t="shared" si="88"/>
        <v>0</v>
      </c>
      <c r="T134" s="366" t="b">
        <f t="shared" si="88"/>
        <v>0</v>
      </c>
      <c r="U134" s="366" t="b">
        <f t="shared" si="88"/>
        <v>0</v>
      </c>
      <c r="V134" s="366" t="b">
        <f t="shared" si="88"/>
        <v>0</v>
      </c>
      <c r="W134" s="366">
        <f t="shared" ref="W134:Y139" si="89">IF($C134=W$131,$D134*W$132,0)</f>
        <v>0</v>
      </c>
      <c r="X134" s="366">
        <f t="shared" ref="X134:X139" si="90">IF($C134=X$131,MIN(ROUNDDOWN($D134/6,0),5),0)</f>
        <v>0</v>
      </c>
      <c r="Y134" s="366">
        <f t="shared" si="89"/>
        <v>0</v>
      </c>
      <c r="Z134" s="366">
        <f t="shared" ref="Z134:Z139" si="91">IF($C134=Z$131,ROUNDDOWN($D134/40,0),0)</f>
        <v>0</v>
      </c>
      <c r="AA134" s="366">
        <f t="shared" ref="AA134:AA139" si="92">IF($C134=AA$131,$D134*AA$132,0)</f>
        <v>0</v>
      </c>
      <c r="AB134" s="366">
        <f t="shared" ref="AB134:AB139" si="93">SUM(W134:AA134)</f>
        <v>0</v>
      </c>
      <c r="AC134" s="366">
        <f t="shared" ref="AC134:AC139" si="94">W134</f>
        <v>0</v>
      </c>
      <c r="AD134" s="366">
        <f t="shared" ref="AD134:AD139" si="95">MIN(X134,5)</f>
        <v>0</v>
      </c>
      <c r="AE134" s="366">
        <f t="shared" ref="AE134:AE139" si="96">Y134</f>
        <v>0</v>
      </c>
      <c r="AF134" s="366">
        <f t="shared" ref="AF134:AF139" si="97">MIN(Z134,AF$132)</f>
        <v>0</v>
      </c>
      <c r="AG134" s="366">
        <f t="shared" ref="AG134:AG139" si="98">AA134</f>
        <v>0</v>
      </c>
      <c r="AH134" s="366">
        <f t="shared" ref="AH134:AH139" si="99">SUM(AC134:AG134)</f>
        <v>0</v>
      </c>
      <c r="AI134" s="238"/>
      <c r="AJ134" s="238"/>
      <c r="AK134" s="238"/>
      <c r="AL134" s="238"/>
      <c r="AM134" s="238"/>
      <c r="AN134" s="238"/>
      <c r="AO134" s="238"/>
      <c r="AP134" s="238"/>
      <c r="AQ134" s="238"/>
      <c r="AR134" s="238"/>
      <c r="AS134" s="238"/>
      <c r="AT134" s="238"/>
      <c r="AU134" s="238"/>
      <c r="AV134" s="238"/>
      <c r="AW134" s="238"/>
      <c r="AX134" s="238"/>
      <c r="AY134" s="238"/>
    </row>
    <row r="135" spans="1:51" s="7" customFormat="1" ht="47.1" customHeight="1" x14ac:dyDescent="0.2">
      <c r="A135" s="295"/>
      <c r="B135" s="296"/>
      <c r="C135" s="119"/>
      <c r="D135" s="408"/>
      <c r="E135" s="344"/>
      <c r="F135" s="57" t="str">
        <f t="shared" si="83"/>
        <v/>
      </c>
      <c r="G135" s="216" t="str">
        <f t="shared" si="84"/>
        <v xml:space="preserve"> </v>
      </c>
      <c r="H135" s="366" t="b">
        <f t="shared" si="85"/>
        <v>0</v>
      </c>
      <c r="I135" s="366"/>
      <c r="J135" s="366"/>
      <c r="K135" s="389" t="b">
        <f t="shared" si="75"/>
        <v>1</v>
      </c>
      <c r="L135" s="389" t="b">
        <f t="shared" si="76"/>
        <v>0</v>
      </c>
      <c r="M135" s="389" t="b">
        <f t="shared" si="77"/>
        <v>1</v>
      </c>
      <c r="N135" s="389" t="b">
        <f t="shared" si="78"/>
        <v>0</v>
      </c>
      <c r="O135" s="389" t="b">
        <f t="shared" si="86"/>
        <v>1</v>
      </c>
      <c r="P135" s="395"/>
      <c r="Q135" s="366" t="b">
        <f t="shared" si="87"/>
        <v>0</v>
      </c>
      <c r="R135" s="366" t="b">
        <f t="shared" si="88"/>
        <v>0</v>
      </c>
      <c r="S135" s="366" t="b">
        <f t="shared" si="88"/>
        <v>0</v>
      </c>
      <c r="T135" s="366" t="b">
        <f t="shared" si="88"/>
        <v>0</v>
      </c>
      <c r="U135" s="366" t="b">
        <f t="shared" si="88"/>
        <v>0</v>
      </c>
      <c r="V135" s="366" t="b">
        <f t="shared" si="88"/>
        <v>0</v>
      </c>
      <c r="W135" s="366">
        <f t="shared" si="89"/>
        <v>0</v>
      </c>
      <c r="X135" s="366">
        <f t="shared" si="90"/>
        <v>0</v>
      </c>
      <c r="Y135" s="366">
        <f t="shared" si="89"/>
        <v>0</v>
      </c>
      <c r="Z135" s="366">
        <f t="shared" si="91"/>
        <v>0</v>
      </c>
      <c r="AA135" s="366">
        <f t="shared" si="92"/>
        <v>0</v>
      </c>
      <c r="AB135" s="366">
        <f t="shared" si="93"/>
        <v>0</v>
      </c>
      <c r="AC135" s="366">
        <f t="shared" si="94"/>
        <v>0</v>
      </c>
      <c r="AD135" s="366">
        <f t="shared" si="95"/>
        <v>0</v>
      </c>
      <c r="AE135" s="366">
        <f t="shared" si="96"/>
        <v>0</v>
      </c>
      <c r="AF135" s="366">
        <f t="shared" si="97"/>
        <v>0</v>
      </c>
      <c r="AG135" s="366">
        <f t="shared" si="98"/>
        <v>0</v>
      </c>
      <c r="AH135" s="366">
        <f t="shared" si="99"/>
        <v>0</v>
      </c>
      <c r="AI135" s="238"/>
      <c r="AJ135" s="238"/>
      <c r="AK135" s="238"/>
      <c r="AL135" s="238"/>
      <c r="AM135" s="238"/>
      <c r="AN135" s="238"/>
      <c r="AO135" s="238"/>
      <c r="AP135" s="238"/>
      <c r="AQ135" s="238"/>
      <c r="AR135" s="238"/>
      <c r="AS135" s="238"/>
      <c r="AT135" s="238"/>
      <c r="AU135" s="238"/>
      <c r="AV135" s="238"/>
      <c r="AW135" s="238"/>
      <c r="AX135" s="238"/>
      <c r="AY135" s="238"/>
    </row>
    <row r="136" spans="1:51" s="7" customFormat="1" ht="47.1" customHeight="1" x14ac:dyDescent="0.2">
      <c r="A136" s="295"/>
      <c r="B136" s="296"/>
      <c r="C136" s="119"/>
      <c r="D136" s="408"/>
      <c r="E136" s="344"/>
      <c r="F136" s="57" t="str">
        <f t="shared" si="83"/>
        <v/>
      </c>
      <c r="G136" s="216" t="str">
        <f>IF(OR(A136="",B136=""),IF(Q136=TRUE,"You are missing dates for your CM points. ",""),IF(O136=TRUE,"Dates entered are not consistent with your CM Cycle Dates. ",""))&amp;IF(NOT(AB136=AH136),"The maximum value for this item has been reached. "," ")</f>
        <v xml:space="preserve"> </v>
      </c>
      <c r="H136" s="366" t="b">
        <f t="shared" si="85"/>
        <v>0</v>
      </c>
      <c r="I136" s="366"/>
      <c r="J136" s="366"/>
      <c r="K136" s="389" t="b">
        <f t="shared" si="75"/>
        <v>1</v>
      </c>
      <c r="L136" s="389" t="b">
        <f t="shared" si="76"/>
        <v>0</v>
      </c>
      <c r="M136" s="389" t="b">
        <f t="shared" si="77"/>
        <v>1</v>
      </c>
      <c r="N136" s="389" t="b">
        <f t="shared" si="78"/>
        <v>0</v>
      </c>
      <c r="O136" s="389" t="b">
        <f t="shared" si="86"/>
        <v>1</v>
      </c>
      <c r="P136" s="395"/>
      <c r="Q136" s="366" t="b">
        <f t="shared" si="87"/>
        <v>0</v>
      </c>
      <c r="R136" s="366" t="b">
        <f t="shared" si="88"/>
        <v>0</v>
      </c>
      <c r="S136" s="366" t="b">
        <f t="shared" si="88"/>
        <v>0</v>
      </c>
      <c r="T136" s="366" t="b">
        <f t="shared" si="88"/>
        <v>0</v>
      </c>
      <c r="U136" s="366" t="b">
        <f t="shared" si="88"/>
        <v>0</v>
      </c>
      <c r="V136" s="366" t="b">
        <f t="shared" si="88"/>
        <v>0</v>
      </c>
      <c r="W136" s="366">
        <f t="shared" si="89"/>
        <v>0</v>
      </c>
      <c r="X136" s="366">
        <f t="shared" si="90"/>
        <v>0</v>
      </c>
      <c r="Y136" s="366">
        <f t="shared" si="89"/>
        <v>0</v>
      </c>
      <c r="Z136" s="366">
        <f t="shared" si="91"/>
        <v>0</v>
      </c>
      <c r="AA136" s="366">
        <f t="shared" si="92"/>
        <v>0</v>
      </c>
      <c r="AB136" s="366">
        <f t="shared" si="93"/>
        <v>0</v>
      </c>
      <c r="AC136" s="366">
        <f t="shared" si="94"/>
        <v>0</v>
      </c>
      <c r="AD136" s="366">
        <f t="shared" si="95"/>
        <v>0</v>
      </c>
      <c r="AE136" s="366">
        <f t="shared" si="96"/>
        <v>0</v>
      </c>
      <c r="AF136" s="366">
        <f t="shared" si="97"/>
        <v>0</v>
      </c>
      <c r="AG136" s="366">
        <f t="shared" si="98"/>
        <v>0</v>
      </c>
      <c r="AH136" s="366">
        <f t="shared" si="99"/>
        <v>0</v>
      </c>
      <c r="AI136" s="238"/>
      <c r="AJ136" s="238"/>
      <c r="AK136" s="238"/>
      <c r="AL136" s="238"/>
      <c r="AM136" s="238"/>
      <c r="AN136" s="238"/>
      <c r="AO136" s="238"/>
      <c r="AP136" s="238"/>
      <c r="AQ136" s="238"/>
      <c r="AR136" s="238"/>
      <c r="AS136" s="238"/>
      <c r="AT136" s="238"/>
      <c r="AU136" s="238"/>
      <c r="AV136" s="238"/>
      <c r="AW136" s="238"/>
      <c r="AX136" s="238"/>
      <c r="AY136" s="238"/>
    </row>
    <row r="137" spans="1:51" s="7" customFormat="1" ht="47.1" customHeight="1" x14ac:dyDescent="0.2">
      <c r="A137" s="295"/>
      <c r="B137" s="296"/>
      <c r="C137" s="119"/>
      <c r="D137" s="408"/>
      <c r="E137" s="344"/>
      <c r="F137" s="57" t="str">
        <f t="shared" si="83"/>
        <v/>
      </c>
      <c r="G137" s="216" t="str">
        <f t="shared" si="84"/>
        <v xml:space="preserve"> </v>
      </c>
      <c r="H137" s="366" t="b">
        <f t="shared" si="85"/>
        <v>0</v>
      </c>
      <c r="I137" s="366"/>
      <c r="J137" s="366"/>
      <c r="K137" s="389" t="b">
        <f t="shared" si="75"/>
        <v>1</v>
      </c>
      <c r="L137" s="389" t="b">
        <f t="shared" si="76"/>
        <v>0</v>
      </c>
      <c r="M137" s="389" t="b">
        <f t="shared" si="77"/>
        <v>1</v>
      </c>
      <c r="N137" s="389" t="b">
        <f t="shared" si="78"/>
        <v>0</v>
      </c>
      <c r="O137" s="389" t="b">
        <f t="shared" si="86"/>
        <v>1</v>
      </c>
      <c r="P137" s="395"/>
      <c r="Q137" s="366" t="b">
        <f t="shared" si="87"/>
        <v>0</v>
      </c>
      <c r="R137" s="366" t="b">
        <f t="shared" si="88"/>
        <v>0</v>
      </c>
      <c r="S137" s="366" t="b">
        <f t="shared" si="88"/>
        <v>0</v>
      </c>
      <c r="T137" s="366" t="b">
        <f t="shared" si="88"/>
        <v>0</v>
      </c>
      <c r="U137" s="366" t="b">
        <f t="shared" si="88"/>
        <v>0</v>
      </c>
      <c r="V137" s="366" t="b">
        <f t="shared" si="88"/>
        <v>0</v>
      </c>
      <c r="W137" s="366">
        <f t="shared" si="89"/>
        <v>0</v>
      </c>
      <c r="X137" s="366">
        <f t="shared" si="90"/>
        <v>0</v>
      </c>
      <c r="Y137" s="366">
        <f t="shared" si="89"/>
        <v>0</v>
      </c>
      <c r="Z137" s="366">
        <f t="shared" si="91"/>
        <v>0</v>
      </c>
      <c r="AA137" s="366">
        <f t="shared" si="92"/>
        <v>0</v>
      </c>
      <c r="AB137" s="366">
        <f t="shared" si="93"/>
        <v>0</v>
      </c>
      <c r="AC137" s="366">
        <f t="shared" si="94"/>
        <v>0</v>
      </c>
      <c r="AD137" s="366">
        <f t="shared" si="95"/>
        <v>0</v>
      </c>
      <c r="AE137" s="366">
        <f t="shared" si="96"/>
        <v>0</v>
      </c>
      <c r="AF137" s="366">
        <f t="shared" si="97"/>
        <v>0</v>
      </c>
      <c r="AG137" s="366">
        <f t="shared" si="98"/>
        <v>0</v>
      </c>
      <c r="AH137" s="366">
        <f t="shared" si="99"/>
        <v>0</v>
      </c>
      <c r="AI137" s="238"/>
      <c r="AJ137" s="238"/>
      <c r="AK137" s="238"/>
      <c r="AL137" s="238"/>
      <c r="AM137" s="238"/>
      <c r="AN137" s="238"/>
      <c r="AO137" s="238"/>
      <c r="AP137" s="238"/>
      <c r="AQ137" s="238"/>
      <c r="AR137" s="238"/>
      <c r="AS137" s="238"/>
      <c r="AT137" s="238"/>
      <c r="AU137" s="238"/>
      <c r="AV137" s="238"/>
      <c r="AW137" s="238"/>
      <c r="AX137" s="238"/>
      <c r="AY137" s="238"/>
    </row>
    <row r="138" spans="1:51" s="7" customFormat="1" ht="47.1" customHeight="1" x14ac:dyDescent="0.2">
      <c r="A138" s="295"/>
      <c r="B138" s="296"/>
      <c r="C138" s="119"/>
      <c r="D138" s="408"/>
      <c r="E138" s="344" t="str">
        <f t="shared" si="82"/>
        <v/>
      </c>
      <c r="F138" s="57" t="str">
        <f t="shared" si="83"/>
        <v/>
      </c>
      <c r="G138" s="216" t="str">
        <f t="shared" si="84"/>
        <v xml:space="preserve"> </v>
      </c>
      <c r="H138" s="366" t="b">
        <f t="shared" si="85"/>
        <v>0</v>
      </c>
      <c r="I138" s="366"/>
      <c r="J138" s="366"/>
      <c r="K138" s="389" t="b">
        <f t="shared" si="75"/>
        <v>1</v>
      </c>
      <c r="L138" s="389" t="b">
        <f t="shared" si="76"/>
        <v>0</v>
      </c>
      <c r="M138" s="389" t="b">
        <f t="shared" si="77"/>
        <v>1</v>
      </c>
      <c r="N138" s="389" t="b">
        <f t="shared" si="78"/>
        <v>0</v>
      </c>
      <c r="O138" s="389" t="b">
        <f t="shared" si="86"/>
        <v>1</v>
      </c>
      <c r="P138" s="395"/>
      <c r="Q138" s="366" t="b">
        <f t="shared" si="87"/>
        <v>0</v>
      </c>
      <c r="R138" s="366" t="b">
        <f t="shared" si="88"/>
        <v>0</v>
      </c>
      <c r="S138" s="366" t="b">
        <f t="shared" si="88"/>
        <v>0</v>
      </c>
      <c r="T138" s="366" t="b">
        <f t="shared" si="88"/>
        <v>0</v>
      </c>
      <c r="U138" s="366" t="b">
        <f t="shared" si="88"/>
        <v>0</v>
      </c>
      <c r="V138" s="366" t="b">
        <f t="shared" si="88"/>
        <v>0</v>
      </c>
      <c r="W138" s="366">
        <f t="shared" si="89"/>
        <v>0</v>
      </c>
      <c r="X138" s="366">
        <f t="shared" si="90"/>
        <v>0</v>
      </c>
      <c r="Y138" s="366">
        <f t="shared" si="89"/>
        <v>0</v>
      </c>
      <c r="Z138" s="366">
        <f t="shared" si="91"/>
        <v>0</v>
      </c>
      <c r="AA138" s="366">
        <f t="shared" si="92"/>
        <v>0</v>
      </c>
      <c r="AB138" s="366">
        <f t="shared" si="93"/>
        <v>0</v>
      </c>
      <c r="AC138" s="366">
        <f t="shared" si="94"/>
        <v>0</v>
      </c>
      <c r="AD138" s="366">
        <f t="shared" si="95"/>
        <v>0</v>
      </c>
      <c r="AE138" s="366">
        <f t="shared" si="96"/>
        <v>0</v>
      </c>
      <c r="AF138" s="366">
        <f t="shared" si="97"/>
        <v>0</v>
      </c>
      <c r="AG138" s="366">
        <f t="shared" si="98"/>
        <v>0</v>
      </c>
      <c r="AH138" s="366">
        <f t="shared" si="99"/>
        <v>0</v>
      </c>
      <c r="AI138" s="238"/>
      <c r="AJ138" s="238"/>
      <c r="AK138" s="238"/>
      <c r="AL138" s="238"/>
      <c r="AM138" s="238"/>
      <c r="AN138" s="238"/>
      <c r="AO138" s="238"/>
      <c r="AP138" s="238"/>
      <c r="AQ138" s="238"/>
      <c r="AR138" s="238"/>
      <c r="AS138" s="238"/>
      <c r="AT138" s="238"/>
      <c r="AU138" s="238"/>
      <c r="AV138" s="238"/>
      <c r="AW138" s="238"/>
      <c r="AX138" s="238"/>
      <c r="AY138" s="238"/>
    </row>
    <row r="139" spans="1:51" s="7" customFormat="1" ht="47.1" customHeight="1" thickBot="1" x14ac:dyDescent="0.25">
      <c r="A139" s="297"/>
      <c r="B139" s="298"/>
      <c r="C139" s="119"/>
      <c r="D139" s="408"/>
      <c r="E139" s="344" t="str">
        <f t="shared" ref="E139" si="100">IF(U139=TRUE,"Enter your pro bono organization, here. ","")&amp; IF(S139=TRUE,"Enter your mentor organization, here. ","")&amp; IF(T139=TRUE,"Enter the exam name, here. ","")</f>
        <v/>
      </c>
      <c r="F139" s="57" t="str">
        <f t="shared" si="83"/>
        <v/>
      </c>
      <c r="G139" s="216" t="str">
        <f t="shared" si="84"/>
        <v xml:space="preserve"> </v>
      </c>
      <c r="H139" s="366" t="b">
        <f t="shared" si="85"/>
        <v>0</v>
      </c>
      <c r="I139" s="366"/>
      <c r="J139" s="366"/>
      <c r="K139" s="389" t="b">
        <f t="shared" si="75"/>
        <v>1</v>
      </c>
      <c r="L139" s="389" t="b">
        <f t="shared" si="76"/>
        <v>0</v>
      </c>
      <c r="M139" s="389" t="b">
        <f t="shared" si="77"/>
        <v>1</v>
      </c>
      <c r="N139" s="389" t="b">
        <f t="shared" si="78"/>
        <v>0</v>
      </c>
      <c r="O139" s="389" t="b">
        <f t="shared" si="86"/>
        <v>1</v>
      </c>
      <c r="P139" s="395"/>
      <c r="Q139" s="366" t="b">
        <f t="shared" si="87"/>
        <v>0</v>
      </c>
      <c r="R139" s="366" t="b">
        <f t="shared" si="88"/>
        <v>0</v>
      </c>
      <c r="S139" s="366" t="b">
        <f t="shared" si="88"/>
        <v>0</v>
      </c>
      <c r="T139" s="366" t="b">
        <f t="shared" si="88"/>
        <v>0</v>
      </c>
      <c r="U139" s="366" t="b">
        <f t="shared" si="88"/>
        <v>0</v>
      </c>
      <c r="V139" s="366" t="b">
        <f t="shared" si="88"/>
        <v>0</v>
      </c>
      <c r="W139" s="366">
        <f t="shared" si="89"/>
        <v>0</v>
      </c>
      <c r="X139" s="366">
        <f t="shared" si="90"/>
        <v>0</v>
      </c>
      <c r="Y139" s="366">
        <f t="shared" si="89"/>
        <v>0</v>
      </c>
      <c r="Z139" s="366">
        <f t="shared" si="91"/>
        <v>0</v>
      </c>
      <c r="AA139" s="366">
        <f t="shared" si="92"/>
        <v>0</v>
      </c>
      <c r="AB139" s="366">
        <f t="shared" si="93"/>
        <v>0</v>
      </c>
      <c r="AC139" s="366">
        <f t="shared" si="94"/>
        <v>0</v>
      </c>
      <c r="AD139" s="366">
        <f t="shared" si="95"/>
        <v>0</v>
      </c>
      <c r="AE139" s="366">
        <f t="shared" si="96"/>
        <v>0</v>
      </c>
      <c r="AF139" s="366">
        <f t="shared" si="97"/>
        <v>0</v>
      </c>
      <c r="AG139" s="366">
        <f t="shared" si="98"/>
        <v>0</v>
      </c>
      <c r="AH139" s="366">
        <f t="shared" si="99"/>
        <v>0</v>
      </c>
      <c r="AI139" s="238"/>
      <c r="AJ139" s="238"/>
      <c r="AK139" s="238"/>
      <c r="AL139" s="238"/>
      <c r="AM139" s="238"/>
      <c r="AN139" s="238"/>
      <c r="AO139" s="238"/>
      <c r="AP139" s="238"/>
      <c r="AQ139" s="238"/>
      <c r="AR139" s="238"/>
      <c r="AS139" s="238"/>
      <c r="AT139" s="238"/>
      <c r="AU139" s="238"/>
      <c r="AV139" s="238"/>
      <c r="AW139" s="238"/>
      <c r="AX139" s="238"/>
      <c r="AY139" s="238"/>
    </row>
    <row r="140" spans="1:51" s="7" customFormat="1" ht="20.100000000000001" customHeight="1" thickBot="1" x14ac:dyDescent="0.25">
      <c r="A140" s="329"/>
      <c r="B140" s="330"/>
      <c r="C140" s="331"/>
      <c r="D140" s="331"/>
      <c r="E140" s="332"/>
      <c r="F140" s="333"/>
      <c r="G140" s="216"/>
      <c r="H140" s="366"/>
      <c r="I140" s="366"/>
      <c r="J140" s="402"/>
      <c r="K140" s="394" t="s">
        <v>305</v>
      </c>
      <c r="L140" s="389"/>
      <c r="M140" s="389"/>
      <c r="N140" s="389"/>
      <c r="O140" s="389"/>
      <c r="P140" s="395"/>
      <c r="Q140" s="366"/>
      <c r="R140" s="366"/>
      <c r="S140" s="366"/>
      <c r="T140" s="366"/>
      <c r="U140" s="366"/>
      <c r="V140" s="395"/>
      <c r="W140" s="366"/>
      <c r="X140" s="366"/>
      <c r="Y140" s="366"/>
      <c r="Z140" s="366"/>
      <c r="AA140" s="366"/>
      <c r="AB140" s="366"/>
      <c r="AC140" s="366"/>
      <c r="AD140" s="366"/>
      <c r="AE140" s="366"/>
      <c r="AF140" s="366"/>
      <c r="AG140" s="366"/>
      <c r="AH140" s="367"/>
      <c r="AI140" s="238"/>
      <c r="AJ140" s="238"/>
      <c r="AK140" s="238"/>
      <c r="AL140" s="238"/>
      <c r="AM140" s="238"/>
      <c r="AN140" s="238"/>
      <c r="AO140" s="238"/>
      <c r="AP140" s="238"/>
      <c r="AQ140" s="238"/>
      <c r="AR140" s="238"/>
      <c r="AS140" s="238"/>
      <c r="AT140" s="238"/>
      <c r="AU140" s="238"/>
      <c r="AV140" s="238"/>
      <c r="AW140" s="238"/>
      <c r="AX140" s="238"/>
      <c r="AY140" s="238"/>
    </row>
    <row r="141" spans="1:51" s="7" customFormat="1" ht="24.75" customHeight="1" x14ac:dyDescent="0.2">
      <c r="A141" s="64" t="s">
        <v>422</v>
      </c>
      <c r="B141" s="160"/>
      <c r="C141" s="18"/>
      <c r="D141" s="18"/>
      <c r="E141" s="18"/>
      <c r="F141" s="110"/>
      <c r="G141" s="216"/>
      <c r="H141" s="366"/>
      <c r="I141" s="366"/>
      <c r="J141" s="402"/>
      <c r="K141" s="394" t="s">
        <v>415</v>
      </c>
      <c r="L141" s="405"/>
      <c r="M141" s="394" t="s">
        <v>25</v>
      </c>
      <c r="N141" s="405"/>
      <c r="O141" s="405"/>
      <c r="P141" s="366"/>
      <c r="Q141" s="394" t="s">
        <v>398</v>
      </c>
      <c r="R141" s="364" t="s">
        <v>413</v>
      </c>
      <c r="S141" s="366"/>
      <c r="T141" s="366"/>
      <c r="U141" s="366"/>
      <c r="V141" s="396"/>
      <c r="W141" s="364" t="s">
        <v>413</v>
      </c>
      <c r="X141" s="367"/>
      <c r="Y141" s="367"/>
      <c r="Z141" s="367"/>
      <c r="AA141" s="367" t="s">
        <v>411</v>
      </c>
      <c r="AB141" s="364" t="s">
        <v>413</v>
      </c>
      <c r="AC141" s="367"/>
      <c r="AD141" s="383"/>
      <c r="AE141" s="383"/>
      <c r="AF141" s="383"/>
      <c r="AG141" s="383" t="s">
        <v>275</v>
      </c>
      <c r="AH141" s="383"/>
      <c r="AI141" s="238"/>
      <c r="AJ141" s="238"/>
      <c r="AK141" s="238"/>
      <c r="AL141" s="238"/>
      <c r="AM141" s="238"/>
      <c r="AN141" s="238"/>
      <c r="AO141" s="238"/>
      <c r="AP141" s="238"/>
      <c r="AQ141" s="238"/>
      <c r="AR141" s="238"/>
      <c r="AS141" s="238"/>
      <c r="AT141" s="238"/>
      <c r="AU141" s="238"/>
      <c r="AV141" s="238"/>
      <c r="AW141" s="238"/>
      <c r="AX141" s="238"/>
      <c r="AY141" s="238"/>
    </row>
    <row r="142" spans="1:51" s="7" customFormat="1" ht="27.95" customHeight="1" x14ac:dyDescent="0.2">
      <c r="A142" s="16" t="s">
        <v>310</v>
      </c>
      <c r="B142" s="162" t="s">
        <v>315</v>
      </c>
      <c r="C142" s="99" t="s">
        <v>416</v>
      </c>
      <c r="D142" s="336" t="s">
        <v>412</v>
      </c>
      <c r="E142" s="125"/>
      <c r="F142" s="17" t="s">
        <v>4</v>
      </c>
      <c r="G142" s="216"/>
      <c r="H142" s="366"/>
      <c r="I142" s="366" t="s">
        <v>414</v>
      </c>
      <c r="J142" s="402"/>
      <c r="K142" s="406"/>
      <c r="L142" s="406"/>
      <c r="M142" s="406"/>
      <c r="N142" s="406"/>
      <c r="O142" s="406"/>
      <c r="P142" s="366"/>
      <c r="Q142" s="366"/>
      <c r="R142" s="366"/>
      <c r="S142" s="366"/>
      <c r="T142" s="366"/>
      <c r="U142" s="366"/>
      <c r="V142" s="366"/>
      <c r="W142" s="366">
        <v>0.2</v>
      </c>
      <c r="X142" s="367"/>
      <c r="Y142" s="367"/>
      <c r="Z142" s="367"/>
      <c r="AA142" s="383"/>
      <c r="AB142" s="366">
        <v>5</v>
      </c>
      <c r="AC142" s="367"/>
      <c r="AD142" s="383"/>
      <c r="AE142" s="383"/>
      <c r="AF142" s="366"/>
      <c r="AG142" s="366"/>
      <c r="AH142" s="383"/>
      <c r="AI142" s="238"/>
      <c r="AJ142" s="238"/>
      <c r="AK142" s="238"/>
      <c r="AL142" s="238"/>
      <c r="AM142" s="238"/>
      <c r="AN142" s="238"/>
      <c r="AO142" s="238"/>
      <c r="AP142" s="238"/>
      <c r="AQ142" s="238"/>
      <c r="AR142" s="238"/>
      <c r="AS142" s="238"/>
      <c r="AT142" s="238"/>
      <c r="AU142" s="238"/>
      <c r="AV142" s="238"/>
      <c r="AW142" s="238"/>
      <c r="AX142" s="238"/>
      <c r="AY142" s="238"/>
    </row>
    <row r="143" spans="1:51" s="7" customFormat="1" ht="24.75" customHeight="1" thickBot="1" x14ac:dyDescent="0.25">
      <c r="A143" s="317"/>
      <c r="B143" s="317"/>
      <c r="C143" s="103"/>
      <c r="D143" s="321"/>
      <c r="E143" s="344" t="str">
        <f>IF(U142=TRUE,"Enter your pro bono organization",IF(V142=TRUE,"Enter your mentor organization",""))</f>
        <v/>
      </c>
      <c r="F143" s="57" t="str">
        <f>IF(D143=0,"",AG143)</f>
        <v/>
      </c>
      <c r="G143" s="216" t="str">
        <f>IF(OR(A143="",B143=""),IF(Q143=TRUE,"You are missing dates for your CM points. ",""),"")&amp;IF(NOT(AA143=AG143),"The maximum value for this item has been reached. "," ") &amp; IF(AND(H143=FALSE,D143&gt;0),"Please specify the activity using the pull-down selection. ","")</f>
        <v xml:space="preserve"> </v>
      </c>
      <c r="H143" s="366" t="b">
        <f>OR(C143="CPPS Exam Questions Accepted")</f>
        <v>0</v>
      </c>
      <c r="I143" s="366">
        <f>IF(OR(MOD(A143,400)=0,AND(MOD(A143,4)=0,MOD(A143,100)&lt;&gt;0)),1, 0)</f>
        <v>1</v>
      </c>
      <c r="J143" s="402"/>
      <c r="K143" s="389" t="b">
        <f>AND(A143&lt;CMSTART)</f>
        <v>1</v>
      </c>
      <c r="L143" s="389" t="b">
        <f>AND(A143&gt;CMEND)</f>
        <v>0</v>
      </c>
      <c r="M143" s="389" t="b">
        <f>AND(B143&lt;CMSTART)</f>
        <v>1</v>
      </c>
      <c r="N143" s="389" t="b">
        <f>OR(B143&gt;CMEND,B143&lt;A143)</f>
        <v>0</v>
      </c>
      <c r="O143" s="389" t="b">
        <f>OR(K143=TRUE,L143=TRUE,M143=TRUE,N143=TRUE)</f>
        <v>1</v>
      </c>
      <c r="P143" s="366"/>
      <c r="Q143" s="366" t="b">
        <f>IF(AND(OR(A143="",B143=""),NOT(F143="")),TRUE,FALSE)</f>
        <v>0</v>
      </c>
      <c r="R143" s="366" t="b">
        <f>OR($C143=R$141)</f>
        <v>0</v>
      </c>
      <c r="S143" s="366"/>
      <c r="T143" s="366"/>
      <c r="U143" s="366"/>
      <c r="V143" s="395"/>
      <c r="W143" s="366">
        <f>IF($C143=W$141,ROUNDDOWN($D143/5,0),0)</f>
        <v>0</v>
      </c>
      <c r="X143" s="366"/>
      <c r="Y143" s="366"/>
      <c r="Z143" s="366"/>
      <c r="AA143" s="366">
        <f>SUM(W143:Z143)</f>
        <v>0</v>
      </c>
      <c r="AB143" s="366">
        <f>MIN(W143,AB$142)</f>
        <v>0</v>
      </c>
      <c r="AC143" s="366"/>
      <c r="AD143" s="366"/>
      <c r="AE143" s="383"/>
      <c r="AF143" s="366"/>
      <c r="AG143" s="366">
        <f>SUM(AB143:AE143)</f>
        <v>0</v>
      </c>
      <c r="AH143" s="395"/>
      <c r="AI143" s="238"/>
      <c r="AJ143" s="238"/>
      <c r="AK143" s="238"/>
      <c r="AL143" s="238"/>
      <c r="AM143" s="238"/>
      <c r="AN143" s="238"/>
      <c r="AO143" s="238"/>
      <c r="AP143" s="238"/>
      <c r="AQ143" s="238"/>
      <c r="AR143" s="238"/>
      <c r="AS143" s="238"/>
      <c r="AT143" s="238"/>
      <c r="AU143" s="238"/>
      <c r="AV143" s="238"/>
      <c r="AW143" s="238"/>
      <c r="AX143" s="238"/>
      <c r="AY143" s="238"/>
    </row>
    <row r="144" spans="1:51" s="7" customFormat="1" ht="24.75" customHeight="1" thickBot="1" x14ac:dyDescent="0.25">
      <c r="A144" s="317"/>
      <c r="B144" s="317"/>
      <c r="C144" s="103"/>
      <c r="D144" s="321"/>
      <c r="E144" s="344" t="str">
        <f>IF(U143=TRUE,"Enter your pro bono organization",IF(V143=TRUE,"Enter your mentor organization",""))</f>
        <v/>
      </c>
      <c r="F144" s="57" t="str">
        <f>IF(D144=0,"",AG144)</f>
        <v/>
      </c>
      <c r="G144" s="216" t="str">
        <f>IF(OR(A144="",B144=""),IF(Q144=TRUE,"You are missing dates for your CM points. ",""),"")&amp;IF(NOT(AA144=AG144),"The maximum value for this item has been reached. "," ") &amp; IF(AND(H144=FALSE,D144&gt;0),"Please specify the activity using the pull-down selection. ","")</f>
        <v xml:space="preserve"> </v>
      </c>
      <c r="H144" s="366" t="b">
        <f>OR(C144="CPPS Exam Questions Accepted")</f>
        <v>0</v>
      </c>
      <c r="I144" s="366">
        <f>IF(OR(MOD(A144,400)=0,AND(MOD(A144,4)=0,MOD(A144,100)&lt;&gt;0)),1, 0)</f>
        <v>1</v>
      </c>
      <c r="J144" s="402"/>
      <c r="K144" s="389" t="b">
        <f>AND(A144&lt;CMSTART)</f>
        <v>1</v>
      </c>
      <c r="L144" s="389" t="b">
        <f>AND(A144&gt;CMEND)</f>
        <v>0</v>
      </c>
      <c r="M144" s="389" t="b">
        <f>AND(B144&lt;CMSTART)</f>
        <v>1</v>
      </c>
      <c r="N144" s="389" t="b">
        <f>OR(B144&gt;CMEND,B144&lt;A144)</f>
        <v>0</v>
      </c>
      <c r="O144" s="389" t="b">
        <f t="shared" ref="O144:O147" si="101">OR(K144=TRUE,L144=TRUE,M144=TRUE,N144=TRUE)</f>
        <v>1</v>
      </c>
      <c r="P144" s="366"/>
      <c r="Q144" s="366" t="b">
        <f>IF(AND(OR(A144="",B144=""),NOT(F144="")),TRUE,FALSE)</f>
        <v>0</v>
      </c>
      <c r="R144" s="366" t="b">
        <f>OR($C144=R$141)</f>
        <v>0</v>
      </c>
      <c r="S144" s="366"/>
      <c r="T144" s="366"/>
      <c r="U144" s="366"/>
      <c r="V144" s="395"/>
      <c r="W144" s="366">
        <f t="shared" ref="W144:W147" si="102">IF($C144=W$141,ROUNDDOWN($D144/5,0),0)</f>
        <v>0</v>
      </c>
      <c r="X144" s="366"/>
      <c r="Y144" s="366"/>
      <c r="Z144" s="366"/>
      <c r="AA144" s="366">
        <f t="shared" ref="AA144:AA147" si="103">SUM(W144:Z144)</f>
        <v>0</v>
      </c>
      <c r="AB144" s="366">
        <f t="shared" ref="AB144:AB147" si="104">MIN(W144,AB$142)</f>
        <v>0</v>
      </c>
      <c r="AC144" s="366"/>
      <c r="AD144" s="366"/>
      <c r="AE144" s="383"/>
      <c r="AF144" s="366"/>
      <c r="AG144" s="366">
        <f t="shared" ref="AG144:AG147" si="105">SUM(AB144:AE144)</f>
        <v>0</v>
      </c>
      <c r="AH144" s="395"/>
      <c r="AI144" s="238"/>
      <c r="AJ144" s="238"/>
      <c r="AK144" s="238"/>
      <c r="AL144" s="238"/>
      <c r="AM144" s="238"/>
      <c r="AN144" s="238"/>
      <c r="AO144" s="238"/>
      <c r="AP144" s="238"/>
      <c r="AQ144" s="238"/>
      <c r="AR144" s="238"/>
      <c r="AS144" s="238"/>
      <c r="AT144" s="238"/>
      <c r="AU144" s="238"/>
      <c r="AV144" s="238"/>
      <c r="AW144" s="238"/>
      <c r="AX144" s="238"/>
      <c r="AY144" s="238"/>
    </row>
    <row r="145" spans="1:51" s="7" customFormat="1" ht="24.75" customHeight="1" thickBot="1" x14ac:dyDescent="0.25">
      <c r="A145" s="317"/>
      <c r="B145" s="317"/>
      <c r="C145" s="103"/>
      <c r="D145" s="321"/>
      <c r="E145" s="344" t="str">
        <f t="shared" ref="E145:E146" si="106">IF(U145=TRUE,"Enter your pro bono organization",IF(V145=TRUE,"Enter your mentor organization",""))</f>
        <v/>
      </c>
      <c r="F145" s="57" t="str">
        <f>IF(D145=0,"",AG145)</f>
        <v/>
      </c>
      <c r="G145" s="216" t="str">
        <f>IF(OR(A145="",B145=""),IF(Q145=TRUE,"You are missing dates for your CM points. ",""),"")&amp;IF(NOT(AA145=AG145),"The maximum value for this item has been reached. "," ") &amp; IF(AND(H145=FALSE,D145&gt;0),"Please specify the activity using the pull-down selection. ","")</f>
        <v xml:space="preserve"> </v>
      </c>
      <c r="H145" s="366" t="b">
        <f>OR(C145="CPPS Exam Questions Accepted")</f>
        <v>0</v>
      </c>
      <c r="I145" s="366">
        <f>IF(OR(MOD(A145,400)=0,AND(MOD(A145,4)=0,MOD(A145,100)&lt;&gt;0)),1, 0)</f>
        <v>1</v>
      </c>
      <c r="J145" s="402"/>
      <c r="K145" s="389" t="b">
        <f>AND(A145&lt;CMSTART)</f>
        <v>1</v>
      </c>
      <c r="L145" s="389" t="b">
        <f>AND(A145&gt;CMEND)</f>
        <v>0</v>
      </c>
      <c r="M145" s="389" t="b">
        <f>AND(B145&lt;CMSTART)</f>
        <v>1</v>
      </c>
      <c r="N145" s="389" t="b">
        <f>OR(B145&gt;CMEND,B145&lt;A145)</f>
        <v>0</v>
      </c>
      <c r="O145" s="389" t="b">
        <f t="shared" si="101"/>
        <v>1</v>
      </c>
      <c r="P145" s="366"/>
      <c r="Q145" s="366" t="b">
        <f>IF(AND(OR(A145="",B145=""),NOT(F145="")),TRUE,FALSE)</f>
        <v>0</v>
      </c>
      <c r="R145" s="366" t="b">
        <f>OR($C145=R$141)</f>
        <v>0</v>
      </c>
      <c r="S145" s="366"/>
      <c r="T145" s="366"/>
      <c r="U145" s="366"/>
      <c r="V145" s="395"/>
      <c r="W145" s="366">
        <f t="shared" si="102"/>
        <v>0</v>
      </c>
      <c r="X145" s="366"/>
      <c r="Y145" s="366"/>
      <c r="Z145" s="366"/>
      <c r="AA145" s="366">
        <f t="shared" si="103"/>
        <v>0</v>
      </c>
      <c r="AB145" s="366">
        <f t="shared" si="104"/>
        <v>0</v>
      </c>
      <c r="AC145" s="366"/>
      <c r="AD145" s="366"/>
      <c r="AE145" s="383"/>
      <c r="AF145" s="366"/>
      <c r="AG145" s="366">
        <f t="shared" si="105"/>
        <v>0</v>
      </c>
      <c r="AH145" s="367"/>
      <c r="AI145" s="238"/>
      <c r="AJ145" s="238"/>
      <c r="AK145" s="238"/>
      <c r="AL145" s="238"/>
      <c r="AM145" s="238"/>
      <c r="AN145" s="238"/>
      <c r="AO145" s="238"/>
      <c r="AP145" s="238"/>
      <c r="AQ145" s="238"/>
      <c r="AR145" s="238"/>
      <c r="AS145" s="238"/>
      <c r="AT145" s="238"/>
      <c r="AU145" s="238"/>
      <c r="AV145" s="238"/>
      <c r="AW145" s="238"/>
      <c r="AX145" s="238"/>
      <c r="AY145" s="238"/>
    </row>
    <row r="146" spans="1:51" s="7" customFormat="1" ht="24.75" customHeight="1" thickBot="1" x14ac:dyDescent="0.25">
      <c r="A146" s="317"/>
      <c r="B146" s="317"/>
      <c r="C146" s="103"/>
      <c r="D146" s="321"/>
      <c r="E146" s="344" t="str">
        <f t="shared" si="106"/>
        <v/>
      </c>
      <c r="F146" s="57" t="str">
        <f>IF(D146=0,"",AG146)</f>
        <v/>
      </c>
      <c r="G146" s="216" t="str">
        <f>IF(OR(A146="",B146=""),IF(Q146=TRUE,"You are missing dates for your CM points. ",""),"")&amp;IF(NOT(AA146=AG146),"The maximum value for this item has been reached. "," ") &amp; IF(AND(H146=FALSE,D146&gt;0),"Please specify the activity using the pull-down selection. ","")</f>
        <v xml:space="preserve"> </v>
      </c>
      <c r="H146" s="366" t="b">
        <f>OR(C146="CPPS Exam Questions Accepted")</f>
        <v>0</v>
      </c>
      <c r="I146" s="366">
        <f>IF(OR(MOD(A146,400)=0,AND(MOD(A146,4)=0,MOD(A146,100)&lt;&gt;0)),1, 0)</f>
        <v>1</v>
      </c>
      <c r="J146" s="402"/>
      <c r="K146" s="389" t="b">
        <f>AND(A146&lt;CMSTART)</f>
        <v>1</v>
      </c>
      <c r="L146" s="389" t="b">
        <f>AND(A146&gt;CMEND)</f>
        <v>0</v>
      </c>
      <c r="M146" s="389" t="b">
        <f>AND(B146&lt;CMSTART)</f>
        <v>1</v>
      </c>
      <c r="N146" s="389" t="b">
        <f>OR(B146&gt;CMEND,B146&lt;A146)</f>
        <v>0</v>
      </c>
      <c r="O146" s="389" t="b">
        <f t="shared" si="101"/>
        <v>1</v>
      </c>
      <c r="P146" s="366"/>
      <c r="Q146" s="366" t="b">
        <f>IF(AND(OR(A146="",B146=""),NOT(F146="")),TRUE,FALSE)</f>
        <v>0</v>
      </c>
      <c r="R146" s="366" t="b">
        <f>OR($C146=R$141)</f>
        <v>0</v>
      </c>
      <c r="S146" s="366"/>
      <c r="T146" s="366"/>
      <c r="U146" s="366"/>
      <c r="V146" s="395"/>
      <c r="W146" s="366">
        <f t="shared" si="102"/>
        <v>0</v>
      </c>
      <c r="X146" s="366"/>
      <c r="Y146" s="366"/>
      <c r="Z146" s="366"/>
      <c r="AA146" s="366">
        <f t="shared" si="103"/>
        <v>0</v>
      </c>
      <c r="AB146" s="366">
        <f t="shared" si="104"/>
        <v>0</v>
      </c>
      <c r="AC146" s="366"/>
      <c r="AD146" s="366"/>
      <c r="AE146" s="383"/>
      <c r="AF146" s="366"/>
      <c r="AG146" s="366">
        <f t="shared" si="105"/>
        <v>0</v>
      </c>
      <c r="AH146" s="367"/>
      <c r="AI146" s="238"/>
      <c r="AJ146" s="238"/>
      <c r="AK146" s="238"/>
      <c r="AL146" s="238"/>
      <c r="AM146" s="238"/>
      <c r="AN146" s="238"/>
      <c r="AO146" s="238"/>
      <c r="AP146" s="238"/>
      <c r="AQ146" s="238"/>
      <c r="AR146" s="238"/>
      <c r="AS146" s="238"/>
      <c r="AT146" s="238"/>
      <c r="AU146" s="238"/>
      <c r="AV146" s="238"/>
      <c r="AW146" s="238"/>
      <c r="AX146" s="238"/>
      <c r="AY146" s="238"/>
    </row>
    <row r="147" spans="1:51" s="7" customFormat="1" ht="24.75" customHeight="1" thickBot="1" x14ac:dyDescent="0.25">
      <c r="A147" s="317"/>
      <c r="B147" s="317"/>
      <c r="C147" s="103"/>
      <c r="D147" s="321"/>
      <c r="E147" s="344"/>
      <c r="F147" s="57" t="str">
        <f>IF(D147=0,"",AG147)</f>
        <v/>
      </c>
      <c r="G147" s="216" t="str">
        <f>IF(OR(A147="",B147=""),IF(Q147=TRUE,"You are missing dates for your CM points. ",""),"")&amp;IF(NOT(AA147=AG147),"The maximum value for this item has been reached. "," ") &amp; IF(AND(H147=FALSE,D147&gt;0),"Please specify the activity using the pull-down selection. ","")</f>
        <v xml:space="preserve"> </v>
      </c>
      <c r="H147" s="366" t="b">
        <f>OR(C147="CPPS Exam Questions Accepted")</f>
        <v>0</v>
      </c>
      <c r="I147" s="366">
        <f>IF(OR(MOD(A147,400)=0,AND(MOD(A147,4)=0,MOD(A147,100)&lt;&gt;0)),1, 0)</f>
        <v>1</v>
      </c>
      <c r="J147" s="402"/>
      <c r="K147" s="389" t="b">
        <f>AND(A147&lt;CMSTART)</f>
        <v>1</v>
      </c>
      <c r="L147" s="389" t="b">
        <f>AND(A147&gt;CMEND)</f>
        <v>0</v>
      </c>
      <c r="M147" s="389" t="b">
        <f>AND(B147&lt;CMSTART)</f>
        <v>1</v>
      </c>
      <c r="N147" s="389" t="b">
        <f>OR(B147&gt;CMEND,B147&lt;A147)</f>
        <v>0</v>
      </c>
      <c r="O147" s="389" t="b">
        <f t="shared" si="101"/>
        <v>1</v>
      </c>
      <c r="P147" s="366"/>
      <c r="Q147" s="366" t="b">
        <f>IF(AND(OR(A147="",B147=""),NOT(F147="")),TRUE,FALSE)</f>
        <v>0</v>
      </c>
      <c r="R147" s="366" t="b">
        <f>OR($C147=R$141)</f>
        <v>0</v>
      </c>
      <c r="S147" s="366"/>
      <c r="T147" s="366"/>
      <c r="U147" s="366"/>
      <c r="V147" s="395"/>
      <c r="W147" s="366">
        <f t="shared" si="102"/>
        <v>0</v>
      </c>
      <c r="X147" s="366"/>
      <c r="Y147" s="366"/>
      <c r="Z147" s="366"/>
      <c r="AA147" s="366">
        <f t="shared" si="103"/>
        <v>0</v>
      </c>
      <c r="AB147" s="366">
        <f t="shared" si="104"/>
        <v>0</v>
      </c>
      <c r="AC147" s="366"/>
      <c r="AD147" s="366"/>
      <c r="AE147" s="383"/>
      <c r="AF147" s="366"/>
      <c r="AG147" s="366">
        <f t="shared" si="105"/>
        <v>0</v>
      </c>
      <c r="AH147" s="367"/>
      <c r="AI147" s="238"/>
      <c r="AJ147" s="238"/>
      <c r="AK147" s="238"/>
      <c r="AL147" s="238"/>
      <c r="AM147" s="238"/>
      <c r="AN147" s="238"/>
      <c r="AO147" s="238"/>
      <c r="AP147" s="238"/>
      <c r="AQ147" s="238"/>
      <c r="AR147" s="238"/>
      <c r="AS147" s="238"/>
      <c r="AT147" s="238"/>
      <c r="AU147" s="238"/>
      <c r="AV147" s="238"/>
      <c r="AW147" s="238"/>
      <c r="AX147" s="238"/>
      <c r="AY147" s="238"/>
    </row>
    <row r="148" spans="1:51" ht="4.7" customHeight="1" thickBot="1" x14ac:dyDescent="0.25">
      <c r="A148" s="9"/>
      <c r="B148" s="168"/>
      <c r="C148" s="10"/>
      <c r="D148" s="10"/>
      <c r="E148" s="10"/>
      <c r="F148" s="11"/>
      <c r="G148" s="228"/>
      <c r="H148" s="366"/>
      <c r="I148" s="366"/>
      <c r="J148" s="366"/>
      <c r="K148" s="366"/>
      <c r="L148" s="366"/>
      <c r="M148" s="366"/>
      <c r="N148" s="366"/>
      <c r="O148" s="366"/>
      <c r="P148" s="367"/>
      <c r="Q148" s="367"/>
      <c r="R148" s="367"/>
      <c r="S148" s="367"/>
      <c r="T148" s="367"/>
      <c r="U148" s="367"/>
      <c r="V148" s="367"/>
      <c r="W148" s="367"/>
      <c r="X148" s="367"/>
      <c r="Y148" s="367"/>
      <c r="Z148" s="367"/>
      <c r="AA148" s="367"/>
      <c r="AB148" s="367"/>
      <c r="AC148" s="367"/>
      <c r="AD148" s="367"/>
      <c r="AE148" s="367"/>
      <c r="AF148" s="361"/>
      <c r="AG148" s="361"/>
      <c r="AH148" s="361"/>
    </row>
    <row r="149" spans="1:51" s="7" customFormat="1" ht="91.5" customHeight="1" thickTop="1" x14ac:dyDescent="0.2">
      <c r="A149" s="416" t="s">
        <v>469</v>
      </c>
      <c r="B149" s="417"/>
      <c r="C149" s="418"/>
      <c r="D149" s="418"/>
      <c r="E149" s="418"/>
      <c r="F149" s="419"/>
      <c r="G149" s="226"/>
      <c r="H149" s="366"/>
      <c r="I149" s="366"/>
      <c r="J149" s="366"/>
      <c r="K149" s="366"/>
      <c r="L149" s="366"/>
      <c r="M149" s="366"/>
      <c r="N149" s="361"/>
      <c r="O149" s="361"/>
      <c r="P149" s="361"/>
      <c r="Q149" s="361"/>
      <c r="R149" s="361"/>
      <c r="S149" s="361"/>
      <c r="T149" s="361"/>
      <c r="U149" s="361"/>
      <c r="V149" s="361"/>
      <c r="W149" s="361"/>
      <c r="X149" s="361"/>
      <c r="Y149" s="361"/>
      <c r="Z149" s="361"/>
      <c r="AA149" s="361"/>
      <c r="AB149" s="361"/>
      <c r="AC149" s="361"/>
      <c r="AD149" s="361"/>
      <c r="AE149" s="361"/>
      <c r="AF149" s="367"/>
      <c r="AG149" s="367"/>
      <c r="AH149" s="367"/>
      <c r="AI149" s="238"/>
      <c r="AJ149" s="238"/>
      <c r="AK149" s="238"/>
      <c r="AL149" s="238"/>
      <c r="AM149" s="238"/>
      <c r="AN149" s="238"/>
      <c r="AO149" s="238"/>
      <c r="AP149" s="238"/>
      <c r="AQ149" s="238"/>
      <c r="AR149" s="238"/>
      <c r="AS149" s="238"/>
      <c r="AT149" s="238"/>
      <c r="AU149" s="238"/>
      <c r="AV149" s="238"/>
      <c r="AW149" s="238"/>
      <c r="AX149" s="238"/>
      <c r="AY149" s="238"/>
    </row>
    <row r="150" spans="1:51" s="7" customFormat="1" ht="21.75" customHeight="1" x14ac:dyDescent="0.2">
      <c r="A150" s="345" t="s">
        <v>385</v>
      </c>
      <c r="B150" s="346"/>
      <c r="C150" s="347"/>
      <c r="D150" s="347"/>
      <c r="E150" s="347"/>
      <c r="F150" s="348"/>
      <c r="G150" s="226"/>
      <c r="H150" s="366"/>
      <c r="I150" s="366"/>
      <c r="J150" s="366"/>
      <c r="K150" s="366"/>
      <c r="L150" s="366"/>
      <c r="M150" s="366"/>
      <c r="N150" s="367"/>
      <c r="O150" s="367"/>
      <c r="P150" s="367"/>
      <c r="Q150" s="367"/>
      <c r="R150" s="367"/>
      <c r="S150" s="367"/>
      <c r="T150" s="367"/>
      <c r="U150" s="367"/>
      <c r="V150" s="367"/>
      <c r="W150" s="367"/>
      <c r="X150" s="367"/>
      <c r="Y150" s="367"/>
      <c r="Z150" s="367"/>
      <c r="AA150" s="367"/>
      <c r="AB150" s="367"/>
      <c r="AC150" s="367"/>
      <c r="AD150" s="367"/>
      <c r="AE150" s="367"/>
      <c r="AF150" s="367"/>
      <c r="AG150" s="367"/>
      <c r="AH150" s="367"/>
      <c r="AI150" s="238"/>
      <c r="AJ150" s="238"/>
      <c r="AK150" s="238"/>
      <c r="AL150" s="238"/>
      <c r="AM150" s="238"/>
      <c r="AN150" s="238"/>
      <c r="AO150" s="238"/>
      <c r="AP150" s="238"/>
      <c r="AQ150" s="238"/>
      <c r="AR150" s="238"/>
      <c r="AS150" s="238"/>
      <c r="AT150" s="238"/>
      <c r="AU150" s="238"/>
      <c r="AV150" s="238"/>
      <c r="AW150" s="238"/>
      <c r="AX150" s="238"/>
      <c r="AY150" s="238"/>
    </row>
    <row r="151" spans="1:51" s="7" customFormat="1" ht="12" customHeight="1" x14ac:dyDescent="0.2">
      <c r="A151" s="349"/>
      <c r="B151" s="1"/>
      <c r="C151" s="1"/>
      <c r="D151" s="1"/>
      <c r="E151" s="1"/>
      <c r="F151" s="350"/>
      <c r="G151" s="229"/>
      <c r="H151" s="366"/>
      <c r="I151" s="366"/>
      <c r="J151" s="366"/>
      <c r="K151" s="366"/>
      <c r="L151" s="366"/>
      <c r="M151" s="366"/>
      <c r="N151" s="367"/>
      <c r="O151" s="367"/>
      <c r="P151" s="367"/>
      <c r="Q151" s="367"/>
      <c r="R151" s="367"/>
      <c r="S151" s="367"/>
      <c r="T151" s="367"/>
      <c r="U151" s="367"/>
      <c r="V151" s="367"/>
      <c r="W151" s="367"/>
      <c r="X151" s="367"/>
      <c r="Y151" s="367"/>
      <c r="Z151" s="367"/>
      <c r="AA151" s="367"/>
      <c r="AB151" s="367"/>
      <c r="AC151" s="367"/>
      <c r="AD151" s="367"/>
      <c r="AE151" s="367"/>
      <c r="AF151" s="367"/>
      <c r="AG151" s="367"/>
      <c r="AH151" s="367"/>
      <c r="AI151" s="238"/>
      <c r="AJ151" s="238"/>
      <c r="AK151" s="238"/>
      <c r="AL151" s="238"/>
      <c r="AM151" s="238"/>
      <c r="AN151" s="238"/>
      <c r="AO151" s="238"/>
      <c r="AP151" s="238"/>
      <c r="AQ151" s="238"/>
      <c r="AR151" s="238"/>
      <c r="AS151" s="238"/>
      <c r="AT151" s="238"/>
      <c r="AU151" s="238"/>
      <c r="AV151" s="238"/>
      <c r="AW151" s="238"/>
      <c r="AX151" s="238"/>
      <c r="AY151" s="238"/>
    </row>
    <row r="152" spans="1:51" s="7" customFormat="1" ht="48" customHeight="1" x14ac:dyDescent="0.2">
      <c r="A152" s="351" t="s">
        <v>8</v>
      </c>
      <c r="B152" s="1"/>
      <c r="C152" s="253"/>
      <c r="D152" s="1"/>
      <c r="E152" s="352" t="s">
        <v>9</v>
      </c>
      <c r="F152" s="252"/>
      <c r="G152" s="229" t="s">
        <v>364</v>
      </c>
      <c r="H152" s="366"/>
      <c r="I152" s="366"/>
      <c r="J152" s="366"/>
      <c r="K152" s="366"/>
      <c r="L152" s="366"/>
      <c r="M152" s="366"/>
      <c r="N152" s="367"/>
      <c r="O152" s="367"/>
      <c r="P152" s="367"/>
      <c r="Q152" s="367"/>
      <c r="R152" s="367"/>
      <c r="S152" s="367"/>
      <c r="T152" s="367"/>
      <c r="U152" s="367"/>
      <c r="V152" s="367"/>
      <c r="W152" s="367"/>
      <c r="X152" s="367"/>
      <c r="Y152" s="367"/>
      <c r="Z152" s="367"/>
      <c r="AA152" s="367"/>
      <c r="AB152" s="367"/>
      <c r="AC152" s="367"/>
      <c r="AD152" s="367"/>
      <c r="AE152" s="367"/>
      <c r="AF152" s="367"/>
      <c r="AG152" s="367"/>
      <c r="AH152" s="367"/>
      <c r="AI152" s="238"/>
      <c r="AJ152" s="238"/>
      <c r="AK152" s="238"/>
      <c r="AL152" s="238"/>
      <c r="AM152" s="238"/>
      <c r="AN152" s="238"/>
      <c r="AO152" s="238"/>
      <c r="AP152" s="238"/>
      <c r="AQ152" s="238"/>
      <c r="AR152" s="238"/>
      <c r="AS152" s="238"/>
      <c r="AT152" s="238"/>
      <c r="AU152" s="238"/>
      <c r="AV152" s="238"/>
      <c r="AW152" s="238"/>
      <c r="AX152" s="238"/>
      <c r="AY152" s="238"/>
    </row>
    <row r="153" spans="1:51" s="7" customFormat="1" ht="19.5" customHeight="1" x14ac:dyDescent="0.2">
      <c r="A153" s="351"/>
      <c r="B153" s="353"/>
      <c r="C153" s="1"/>
      <c r="D153" s="1"/>
      <c r="E153" s="1"/>
      <c r="F153" s="350"/>
      <c r="G153" s="226"/>
      <c r="H153" s="366"/>
      <c r="I153" s="366"/>
      <c r="J153" s="366"/>
      <c r="K153" s="366"/>
      <c r="L153" s="366"/>
      <c r="M153" s="366"/>
      <c r="N153" s="367"/>
      <c r="O153" s="367"/>
      <c r="P153" s="367"/>
      <c r="Q153" s="367"/>
      <c r="R153" s="367"/>
      <c r="S153" s="367"/>
      <c r="T153" s="367"/>
      <c r="U153" s="367"/>
      <c r="V153" s="367"/>
      <c r="W153" s="367"/>
      <c r="X153" s="367"/>
      <c r="Y153" s="367"/>
      <c r="Z153" s="367"/>
      <c r="AA153" s="367"/>
      <c r="AB153" s="367"/>
      <c r="AC153" s="367"/>
      <c r="AD153" s="367"/>
      <c r="AE153" s="367"/>
      <c r="AF153" s="367"/>
      <c r="AG153" s="367"/>
      <c r="AH153" s="367"/>
      <c r="AI153" s="238"/>
      <c r="AJ153" s="238"/>
      <c r="AK153" s="238"/>
      <c r="AL153" s="238"/>
      <c r="AM153" s="238"/>
      <c r="AN153" s="238"/>
      <c r="AO153" s="238"/>
      <c r="AP153" s="238"/>
      <c r="AQ153" s="238"/>
      <c r="AR153" s="238"/>
      <c r="AS153" s="238"/>
      <c r="AT153" s="238"/>
      <c r="AU153" s="238"/>
      <c r="AV153" s="238"/>
      <c r="AW153" s="238"/>
      <c r="AX153" s="238"/>
      <c r="AY153" s="238"/>
    </row>
    <row r="154" spans="1:51" s="7" customFormat="1" ht="19.5" customHeight="1" x14ac:dyDescent="0.2">
      <c r="A154" s="354" t="s">
        <v>43</v>
      </c>
      <c r="B154" s="355"/>
      <c r="C154" s="142"/>
      <c r="D154" s="142"/>
      <c r="E154" s="142"/>
      <c r="F154" s="356"/>
      <c r="G154" s="226"/>
      <c r="H154" s="366"/>
      <c r="I154" s="366"/>
      <c r="J154" s="366"/>
      <c r="K154" s="366"/>
      <c r="L154" s="366"/>
      <c r="M154" s="366"/>
      <c r="N154" s="367"/>
      <c r="O154" s="367"/>
      <c r="P154" s="367"/>
      <c r="Q154" s="367"/>
      <c r="R154" s="367"/>
      <c r="S154" s="367"/>
      <c r="T154" s="367"/>
      <c r="U154" s="367"/>
      <c r="V154" s="367"/>
      <c r="W154" s="367"/>
      <c r="X154" s="367"/>
      <c r="Y154" s="367"/>
      <c r="Z154" s="367"/>
      <c r="AA154" s="367"/>
      <c r="AB154" s="367"/>
      <c r="AC154" s="367"/>
      <c r="AD154" s="367"/>
      <c r="AE154" s="367"/>
      <c r="AF154" s="367"/>
      <c r="AG154" s="367"/>
      <c r="AH154" s="367"/>
      <c r="AI154" s="238"/>
      <c r="AJ154" s="238"/>
      <c r="AK154" s="238"/>
      <c r="AL154" s="238"/>
      <c r="AM154" s="238"/>
      <c r="AN154" s="238"/>
      <c r="AO154" s="238"/>
      <c r="AP154" s="238"/>
      <c r="AQ154" s="238"/>
      <c r="AR154" s="238"/>
      <c r="AS154" s="238"/>
      <c r="AT154" s="238"/>
      <c r="AU154" s="238"/>
      <c r="AV154" s="238"/>
      <c r="AW154" s="238"/>
      <c r="AX154" s="238"/>
      <c r="AY154" s="238"/>
    </row>
    <row r="155" spans="1:51" s="7" customFormat="1" ht="17.25" customHeight="1" x14ac:dyDescent="0.2">
      <c r="A155" s="357" t="s">
        <v>470</v>
      </c>
      <c r="B155" s="358"/>
      <c r="C155" s="346"/>
      <c r="D155" s="346"/>
      <c r="E155" s="346"/>
      <c r="F155" s="359"/>
      <c r="G155" s="226"/>
      <c r="H155" s="366"/>
      <c r="I155" s="366"/>
      <c r="J155" s="366"/>
      <c r="K155" s="366"/>
      <c r="L155" s="366"/>
      <c r="M155" s="366"/>
      <c r="N155" s="367"/>
      <c r="O155" s="367"/>
      <c r="P155" s="367"/>
      <c r="Q155" s="367"/>
      <c r="R155" s="367"/>
      <c r="S155" s="367"/>
      <c r="T155" s="367"/>
      <c r="U155" s="367"/>
      <c r="V155" s="367"/>
      <c r="W155" s="367"/>
      <c r="X155" s="367"/>
      <c r="Y155" s="367"/>
      <c r="Z155" s="367"/>
      <c r="AA155" s="367"/>
      <c r="AB155" s="367"/>
      <c r="AC155" s="367"/>
      <c r="AD155" s="367"/>
      <c r="AE155" s="367"/>
      <c r="AF155" s="367"/>
      <c r="AG155" s="367"/>
      <c r="AH155" s="367"/>
      <c r="AI155" s="238"/>
      <c r="AJ155" s="238"/>
      <c r="AK155" s="238"/>
      <c r="AL155" s="238"/>
      <c r="AM155" s="238"/>
      <c r="AN155" s="238"/>
      <c r="AO155" s="238"/>
      <c r="AP155" s="238"/>
      <c r="AQ155" s="238"/>
      <c r="AR155" s="238"/>
      <c r="AS155" s="238"/>
      <c r="AT155" s="238"/>
      <c r="AU155" s="238"/>
      <c r="AV155" s="238"/>
      <c r="AW155" s="238"/>
      <c r="AX155" s="238"/>
      <c r="AY155" s="238"/>
    </row>
    <row r="156" spans="1:51" s="7" customFormat="1" ht="17.25" customHeight="1" thickBot="1" x14ac:dyDescent="0.25">
      <c r="A156" s="357"/>
      <c r="B156" s="358"/>
      <c r="C156" s="358"/>
      <c r="D156" s="358"/>
      <c r="E156" s="358"/>
      <c r="F156" s="360"/>
      <c r="G156" s="226"/>
      <c r="H156" s="366"/>
      <c r="I156" s="366"/>
      <c r="J156" s="366"/>
      <c r="K156" s="366"/>
      <c r="L156" s="366"/>
      <c r="M156" s="366"/>
      <c r="N156" s="367"/>
      <c r="O156" s="367"/>
      <c r="P156" s="367"/>
      <c r="Q156" s="367"/>
      <c r="R156" s="367"/>
      <c r="S156" s="367"/>
      <c r="T156" s="367"/>
      <c r="U156" s="367"/>
      <c r="V156" s="367"/>
      <c r="W156" s="367"/>
      <c r="X156" s="367"/>
      <c r="Y156" s="367"/>
      <c r="Z156" s="367"/>
      <c r="AA156" s="367"/>
      <c r="AB156" s="367"/>
      <c r="AC156" s="367"/>
      <c r="AD156" s="367"/>
      <c r="AE156" s="367"/>
      <c r="AF156" s="367"/>
      <c r="AG156" s="367"/>
      <c r="AH156" s="367"/>
      <c r="AI156" s="238"/>
      <c r="AJ156" s="238"/>
      <c r="AK156" s="238"/>
      <c r="AL156" s="238"/>
      <c r="AM156" s="238"/>
      <c r="AN156" s="238"/>
      <c r="AO156" s="238"/>
      <c r="AP156" s="238"/>
      <c r="AQ156" s="238"/>
      <c r="AR156" s="238"/>
      <c r="AS156" s="238"/>
      <c r="AT156" s="238"/>
      <c r="AU156" s="238"/>
      <c r="AV156" s="238"/>
      <c r="AW156" s="238"/>
      <c r="AX156" s="238"/>
      <c r="AY156" s="238"/>
    </row>
    <row r="157" spans="1:51" s="7" customFormat="1" ht="36.950000000000003" customHeight="1" thickBot="1" x14ac:dyDescent="0.25">
      <c r="A157" s="420" t="s">
        <v>44</v>
      </c>
      <c r="B157" s="421"/>
      <c r="C157" s="422"/>
      <c r="D157" s="422"/>
      <c r="E157" s="422"/>
      <c r="F157" s="423"/>
      <c r="G157" s="226"/>
      <c r="H157" s="366"/>
      <c r="I157" s="366"/>
      <c r="J157" s="366"/>
      <c r="K157" s="366"/>
      <c r="L157" s="366"/>
      <c r="M157" s="366"/>
      <c r="N157" s="367"/>
      <c r="O157" s="367"/>
      <c r="P157" s="367"/>
      <c r="Q157" s="367"/>
      <c r="R157" s="367"/>
      <c r="S157" s="367"/>
      <c r="T157" s="367"/>
      <c r="U157" s="367"/>
      <c r="V157" s="367"/>
      <c r="W157" s="367"/>
      <c r="X157" s="367"/>
      <c r="Y157" s="367"/>
      <c r="Z157" s="367"/>
      <c r="AA157" s="367"/>
      <c r="AB157" s="367"/>
      <c r="AC157" s="367"/>
      <c r="AD157" s="367"/>
      <c r="AE157" s="367"/>
      <c r="AF157" s="367"/>
      <c r="AG157" s="367"/>
      <c r="AH157" s="367"/>
      <c r="AI157" s="238"/>
      <c r="AJ157" s="238"/>
      <c r="AK157" s="238"/>
      <c r="AL157" s="238"/>
      <c r="AM157" s="238"/>
      <c r="AN157" s="238"/>
      <c r="AO157" s="238"/>
      <c r="AP157" s="238"/>
      <c r="AQ157" s="238"/>
      <c r="AR157" s="238"/>
      <c r="AS157" s="238"/>
      <c r="AT157" s="238"/>
      <c r="AU157" s="238"/>
      <c r="AV157" s="238"/>
      <c r="AW157" s="238"/>
      <c r="AX157" s="238"/>
      <c r="AY157" s="238"/>
    </row>
    <row r="158" spans="1:51" s="286" customFormat="1" x14ac:dyDescent="0.2">
      <c r="A158" s="285"/>
      <c r="B158" s="285"/>
      <c r="G158" s="287"/>
      <c r="H158" s="288"/>
      <c r="I158" s="288"/>
      <c r="J158" s="288"/>
      <c r="K158" s="288"/>
      <c r="L158" s="288"/>
      <c r="M158" s="288"/>
      <c r="N158" s="289"/>
      <c r="O158" s="289"/>
      <c r="P158" s="289"/>
      <c r="Q158" s="289"/>
      <c r="R158" s="289"/>
      <c r="S158" s="289"/>
      <c r="T158" s="289"/>
      <c r="U158" s="289"/>
      <c r="V158" s="289"/>
      <c r="W158" s="289"/>
      <c r="X158" s="289"/>
      <c r="Y158" s="52"/>
      <c r="Z158" s="52"/>
      <c r="AA158" s="52"/>
      <c r="AB158" s="52"/>
      <c r="AC158" s="52"/>
      <c r="AD158" s="52"/>
      <c r="AE158" s="52"/>
      <c r="AI158" s="238"/>
      <c r="AJ158" s="290"/>
      <c r="AK158" s="290"/>
      <c r="AL158" s="290"/>
      <c r="AM158" s="290"/>
      <c r="AN158" s="290"/>
      <c r="AO158" s="290"/>
      <c r="AP158" s="290"/>
      <c r="AQ158" s="290"/>
      <c r="AR158" s="290"/>
      <c r="AS158" s="290"/>
      <c r="AT158" s="290"/>
      <c r="AU158" s="290"/>
      <c r="AV158" s="290"/>
      <c r="AW158" s="290"/>
      <c r="AX158" s="290"/>
      <c r="AY158" s="290"/>
    </row>
    <row r="159" spans="1:51" s="286" customFormat="1" x14ac:dyDescent="0.2">
      <c r="A159" s="291"/>
      <c r="B159" s="291"/>
      <c r="G159" s="287"/>
      <c r="H159" s="288"/>
      <c r="I159" s="288"/>
      <c r="J159" s="288"/>
      <c r="K159" s="288"/>
      <c r="L159" s="288"/>
      <c r="M159" s="288"/>
      <c r="N159" s="292"/>
      <c r="O159" s="292"/>
      <c r="P159" s="292"/>
      <c r="Q159" s="292"/>
      <c r="R159" s="292"/>
      <c r="S159" s="292"/>
      <c r="T159" s="292"/>
      <c r="U159" s="292"/>
      <c r="V159" s="292"/>
      <c r="W159" s="292"/>
      <c r="X159" s="292"/>
      <c r="AI159" s="238"/>
      <c r="AJ159" s="290"/>
      <c r="AK159" s="290"/>
      <c r="AL159" s="290"/>
      <c r="AM159" s="290"/>
      <c r="AN159" s="290"/>
      <c r="AO159" s="290"/>
      <c r="AP159" s="290"/>
      <c r="AQ159" s="290"/>
      <c r="AR159" s="290"/>
      <c r="AS159" s="290"/>
      <c r="AT159" s="290"/>
      <c r="AU159" s="290"/>
      <c r="AV159" s="290"/>
      <c r="AW159" s="290"/>
      <c r="AX159" s="290"/>
      <c r="AY159" s="290"/>
    </row>
    <row r="160" spans="1:51" s="286" customFormat="1" x14ac:dyDescent="0.2">
      <c r="A160" s="291"/>
      <c r="B160" s="291"/>
      <c r="G160" s="293"/>
      <c r="I160" s="294"/>
      <c r="J160" s="288"/>
      <c r="K160" s="288"/>
      <c r="L160" s="288"/>
      <c r="M160" s="288"/>
      <c r="N160" s="292"/>
      <c r="O160" s="292"/>
      <c r="P160" s="292"/>
      <c r="Q160" s="292"/>
      <c r="R160" s="292"/>
      <c r="S160" s="292"/>
      <c r="T160" s="292"/>
      <c r="U160" s="292"/>
      <c r="V160" s="292"/>
      <c r="W160" s="292"/>
      <c r="X160" s="292"/>
      <c r="AI160" s="290"/>
      <c r="AJ160" s="290"/>
      <c r="AK160" s="290"/>
      <c r="AL160" s="290"/>
      <c r="AM160" s="290"/>
      <c r="AN160" s="290"/>
      <c r="AO160" s="290"/>
      <c r="AP160" s="290"/>
      <c r="AQ160" s="290"/>
      <c r="AR160" s="290"/>
      <c r="AS160" s="290"/>
      <c r="AT160" s="290"/>
      <c r="AU160" s="290"/>
      <c r="AV160" s="290"/>
      <c r="AW160" s="290"/>
      <c r="AX160" s="290"/>
      <c r="AY160" s="290"/>
    </row>
    <row r="161" spans="1:51" s="286" customFormat="1" x14ac:dyDescent="0.2">
      <c r="A161" s="291"/>
      <c r="B161" s="291"/>
      <c r="G161" s="293"/>
      <c r="I161" s="294"/>
      <c r="J161" s="288"/>
      <c r="K161" s="288"/>
      <c r="L161" s="288"/>
      <c r="M161" s="288"/>
      <c r="N161" s="288"/>
      <c r="O161" s="288"/>
      <c r="P161" s="292"/>
      <c r="Q161" s="292"/>
      <c r="R161" s="292"/>
      <c r="S161" s="292"/>
      <c r="T161" s="292"/>
      <c r="U161" s="292"/>
      <c r="V161" s="292"/>
      <c r="W161" s="292"/>
      <c r="X161" s="292"/>
      <c r="Y161" s="292"/>
      <c r="Z161" s="292"/>
      <c r="AI161" s="290"/>
      <c r="AJ161" s="290"/>
      <c r="AK161" s="290"/>
      <c r="AL161" s="290"/>
      <c r="AM161" s="290"/>
      <c r="AN161" s="290"/>
      <c r="AO161" s="290"/>
      <c r="AP161" s="290"/>
      <c r="AQ161" s="290"/>
      <c r="AR161" s="290"/>
      <c r="AS161" s="290"/>
      <c r="AT161" s="290"/>
      <c r="AU161" s="290"/>
      <c r="AV161" s="290"/>
      <c r="AW161" s="290"/>
      <c r="AX161" s="290"/>
      <c r="AY161" s="290"/>
    </row>
    <row r="162" spans="1:51" s="286" customFormat="1" x14ac:dyDescent="0.2">
      <c r="A162" s="291"/>
      <c r="B162" s="291"/>
      <c r="G162" s="293"/>
      <c r="I162" s="294"/>
      <c r="J162" s="288"/>
      <c r="K162" s="288"/>
      <c r="L162" s="288"/>
      <c r="M162" s="288"/>
      <c r="N162" s="288"/>
      <c r="O162" s="288"/>
      <c r="P162" s="292"/>
      <c r="Q162" s="292"/>
      <c r="R162" s="292"/>
      <c r="S162" s="292"/>
      <c r="T162" s="292"/>
      <c r="U162" s="292"/>
      <c r="V162" s="292"/>
      <c r="W162" s="292"/>
      <c r="X162" s="292"/>
      <c r="Y162" s="292"/>
      <c r="Z162" s="292"/>
      <c r="AI162" s="290"/>
      <c r="AJ162" s="290"/>
      <c r="AK162" s="290"/>
      <c r="AL162" s="290"/>
      <c r="AM162" s="290"/>
      <c r="AN162" s="290"/>
      <c r="AO162" s="290"/>
      <c r="AP162" s="290"/>
      <c r="AQ162" s="290"/>
      <c r="AR162" s="290"/>
      <c r="AS162" s="290"/>
      <c r="AT162" s="290"/>
      <c r="AU162" s="290"/>
      <c r="AV162" s="290"/>
      <c r="AW162" s="290"/>
      <c r="AX162" s="290"/>
      <c r="AY162" s="290"/>
    </row>
    <row r="163" spans="1:51" s="286" customFormat="1" x14ac:dyDescent="0.2">
      <c r="A163" s="291"/>
      <c r="B163" s="291"/>
      <c r="G163" s="293"/>
      <c r="I163" s="294"/>
      <c r="J163" s="288"/>
      <c r="K163" s="288"/>
      <c r="L163" s="288"/>
      <c r="M163" s="288"/>
      <c r="N163" s="288"/>
      <c r="O163" s="288"/>
      <c r="P163" s="292"/>
      <c r="Q163" s="292"/>
      <c r="R163" s="292"/>
      <c r="S163" s="292"/>
      <c r="T163" s="292"/>
      <c r="U163" s="292"/>
      <c r="V163" s="292"/>
      <c r="W163" s="292"/>
      <c r="X163" s="292"/>
      <c r="Y163" s="292"/>
      <c r="Z163" s="292"/>
      <c r="AI163" s="290"/>
      <c r="AJ163" s="290"/>
      <c r="AK163" s="290"/>
      <c r="AL163" s="290"/>
      <c r="AM163" s="290"/>
      <c r="AN163" s="290"/>
      <c r="AO163" s="290"/>
      <c r="AP163" s="290"/>
      <c r="AQ163" s="290"/>
      <c r="AR163" s="290"/>
      <c r="AS163" s="290"/>
      <c r="AT163" s="290"/>
      <c r="AU163" s="290"/>
      <c r="AV163" s="290"/>
      <c r="AW163" s="290"/>
      <c r="AX163" s="290"/>
      <c r="AY163" s="290"/>
    </row>
    <row r="164" spans="1:51" s="286" customFormat="1" x14ac:dyDescent="0.2">
      <c r="A164" s="291"/>
      <c r="B164" s="291"/>
      <c r="G164" s="293"/>
      <c r="I164" s="294"/>
      <c r="J164" s="288"/>
      <c r="K164" s="288"/>
      <c r="L164" s="288"/>
      <c r="M164" s="288"/>
      <c r="N164" s="288"/>
      <c r="O164" s="288"/>
      <c r="P164" s="292"/>
      <c r="Q164" s="292"/>
      <c r="R164" s="292"/>
      <c r="S164" s="292"/>
      <c r="T164" s="292"/>
      <c r="U164" s="292"/>
      <c r="V164" s="292"/>
      <c r="W164" s="292"/>
      <c r="X164" s="292"/>
      <c r="Y164" s="292"/>
      <c r="Z164" s="292"/>
      <c r="AI164" s="290"/>
      <c r="AJ164" s="290"/>
      <c r="AK164" s="290"/>
      <c r="AL164" s="290"/>
      <c r="AM164" s="290"/>
      <c r="AN164" s="290"/>
      <c r="AO164" s="290"/>
      <c r="AP164" s="290"/>
      <c r="AQ164" s="290"/>
      <c r="AR164" s="290"/>
      <c r="AS164" s="290"/>
      <c r="AT164" s="290"/>
      <c r="AU164" s="290"/>
      <c r="AV164" s="290"/>
      <c r="AW164" s="290"/>
      <c r="AX164" s="290"/>
      <c r="AY164" s="290"/>
    </row>
    <row r="165" spans="1:51" s="286" customFormat="1" x14ac:dyDescent="0.2">
      <c r="A165" s="291"/>
      <c r="B165" s="291"/>
      <c r="G165" s="293"/>
      <c r="I165" s="294"/>
      <c r="J165" s="288"/>
      <c r="K165" s="288"/>
      <c r="L165" s="288"/>
      <c r="M165" s="288"/>
      <c r="N165" s="288"/>
      <c r="O165" s="288"/>
      <c r="P165" s="292"/>
      <c r="Q165" s="292"/>
      <c r="R165" s="292"/>
      <c r="S165" s="292"/>
      <c r="T165" s="292"/>
      <c r="U165" s="292"/>
      <c r="V165" s="292"/>
      <c r="W165" s="292"/>
      <c r="X165" s="292"/>
      <c r="Y165" s="292"/>
      <c r="Z165" s="292"/>
      <c r="AI165" s="290"/>
      <c r="AJ165" s="290"/>
      <c r="AK165" s="290"/>
      <c r="AL165" s="290"/>
      <c r="AM165" s="290"/>
      <c r="AN165" s="290"/>
      <c r="AO165" s="290"/>
      <c r="AP165" s="290"/>
      <c r="AQ165" s="290"/>
      <c r="AR165" s="290"/>
      <c r="AS165" s="290"/>
      <c r="AT165" s="290"/>
      <c r="AU165" s="290"/>
      <c r="AV165" s="290"/>
      <c r="AW165" s="290"/>
      <c r="AX165" s="290"/>
      <c r="AY165" s="290"/>
    </row>
    <row r="166" spans="1:51" s="286" customFormat="1" x14ac:dyDescent="0.2">
      <c r="A166" s="291"/>
      <c r="B166" s="291"/>
      <c r="G166" s="293"/>
      <c r="I166" s="294"/>
      <c r="J166" s="288"/>
      <c r="K166" s="288"/>
      <c r="L166" s="288"/>
      <c r="M166" s="288"/>
      <c r="N166" s="288"/>
      <c r="O166" s="288"/>
      <c r="P166" s="292"/>
      <c r="Q166" s="292"/>
      <c r="R166" s="292"/>
      <c r="S166" s="292"/>
      <c r="T166" s="292"/>
      <c r="U166" s="292"/>
      <c r="V166" s="292"/>
      <c r="W166" s="292"/>
      <c r="X166" s="292"/>
      <c r="Y166" s="292"/>
      <c r="Z166" s="292"/>
      <c r="AI166" s="290"/>
      <c r="AJ166" s="290"/>
      <c r="AK166" s="290"/>
      <c r="AL166" s="290"/>
      <c r="AM166" s="290"/>
      <c r="AN166" s="290"/>
      <c r="AO166" s="290"/>
      <c r="AP166" s="290"/>
      <c r="AQ166" s="290"/>
      <c r="AR166" s="290"/>
      <c r="AS166" s="290"/>
      <c r="AT166" s="290"/>
      <c r="AU166" s="290"/>
      <c r="AV166" s="290"/>
      <c r="AW166" s="290"/>
      <c r="AX166" s="290"/>
      <c r="AY166" s="290"/>
    </row>
    <row r="167" spans="1:51" s="286" customFormat="1" x14ac:dyDescent="0.2">
      <c r="A167" s="291"/>
      <c r="B167" s="291"/>
      <c r="G167" s="293"/>
      <c r="I167" s="294"/>
      <c r="J167" s="288"/>
      <c r="K167" s="288"/>
      <c r="L167" s="288"/>
      <c r="M167" s="288"/>
      <c r="N167" s="288"/>
      <c r="O167" s="288"/>
      <c r="P167" s="292"/>
      <c r="Q167" s="292"/>
      <c r="R167" s="292"/>
      <c r="S167" s="292"/>
      <c r="T167" s="292"/>
      <c r="U167" s="292"/>
      <c r="V167" s="292"/>
      <c r="W167" s="292"/>
      <c r="X167" s="292"/>
      <c r="Y167" s="292"/>
      <c r="Z167" s="292"/>
      <c r="AI167" s="290"/>
      <c r="AJ167" s="290"/>
      <c r="AK167" s="290"/>
      <c r="AL167" s="290"/>
      <c r="AM167" s="290"/>
      <c r="AN167" s="290"/>
      <c r="AO167" s="290"/>
      <c r="AP167" s="290"/>
      <c r="AQ167" s="290"/>
      <c r="AR167" s="290"/>
      <c r="AS167" s="290"/>
      <c r="AT167" s="290"/>
      <c r="AU167" s="290"/>
      <c r="AV167" s="290"/>
      <c r="AW167" s="290"/>
      <c r="AX167" s="290"/>
      <c r="AY167" s="290"/>
    </row>
    <row r="168" spans="1:51" s="286" customFormat="1" x14ac:dyDescent="0.2">
      <c r="A168" s="291"/>
      <c r="B168" s="291"/>
      <c r="G168" s="293"/>
      <c r="I168" s="294"/>
      <c r="J168" s="288"/>
      <c r="K168" s="288"/>
      <c r="L168" s="288"/>
      <c r="M168" s="288"/>
      <c r="N168" s="288"/>
      <c r="O168" s="288"/>
      <c r="P168" s="292"/>
      <c r="Q168" s="292"/>
      <c r="R168" s="292"/>
      <c r="S168" s="292"/>
      <c r="T168" s="292"/>
      <c r="U168" s="292"/>
      <c r="V168" s="292"/>
      <c r="W168" s="292"/>
      <c r="X168" s="292"/>
      <c r="Y168" s="292"/>
      <c r="Z168" s="292"/>
      <c r="AI168" s="290"/>
      <c r="AJ168" s="290"/>
      <c r="AK168" s="290"/>
      <c r="AL168" s="290"/>
      <c r="AM168" s="290"/>
      <c r="AN168" s="290"/>
      <c r="AO168" s="290"/>
      <c r="AP168" s="290"/>
      <c r="AQ168" s="290"/>
      <c r="AR168" s="290"/>
      <c r="AS168" s="290"/>
      <c r="AT168" s="290"/>
      <c r="AU168" s="290"/>
      <c r="AV168" s="290"/>
      <c r="AW168" s="290"/>
      <c r="AX168" s="290"/>
      <c r="AY168" s="290"/>
    </row>
    <row r="169" spans="1:51" s="286" customFormat="1" x14ac:dyDescent="0.2">
      <c r="A169" s="291"/>
      <c r="B169" s="291"/>
      <c r="G169" s="293"/>
      <c r="I169" s="294"/>
      <c r="J169" s="288"/>
      <c r="K169" s="288"/>
      <c r="L169" s="288"/>
      <c r="M169" s="288"/>
      <c r="N169" s="288"/>
      <c r="O169" s="288"/>
      <c r="P169" s="292"/>
      <c r="Q169" s="292"/>
      <c r="R169" s="292"/>
      <c r="S169" s="292"/>
      <c r="T169" s="292"/>
      <c r="U169" s="292"/>
      <c r="V169" s="292"/>
      <c r="W169" s="292"/>
      <c r="X169" s="292"/>
      <c r="Y169" s="292"/>
      <c r="Z169" s="292"/>
      <c r="AI169" s="290"/>
      <c r="AJ169" s="290"/>
      <c r="AK169" s="290"/>
      <c r="AL169" s="290"/>
      <c r="AM169" s="290"/>
      <c r="AN169" s="290"/>
      <c r="AO169" s="290"/>
      <c r="AP169" s="290"/>
      <c r="AQ169" s="290"/>
      <c r="AR169" s="290"/>
      <c r="AS169" s="290"/>
      <c r="AT169" s="290"/>
      <c r="AU169" s="290"/>
      <c r="AV169" s="290"/>
      <c r="AW169" s="290"/>
      <c r="AX169" s="290"/>
      <c r="AY169" s="290"/>
    </row>
    <row r="170" spans="1:51" s="286" customFormat="1" x14ac:dyDescent="0.2">
      <c r="A170" s="291"/>
      <c r="B170" s="291"/>
      <c r="G170" s="293"/>
      <c r="I170" s="294"/>
      <c r="J170" s="288"/>
      <c r="K170" s="288"/>
      <c r="L170" s="288"/>
      <c r="M170" s="288"/>
      <c r="N170" s="288"/>
      <c r="O170" s="288"/>
      <c r="P170" s="292"/>
      <c r="Q170" s="292"/>
      <c r="R170" s="292"/>
      <c r="S170" s="292"/>
      <c r="T170" s="292"/>
      <c r="U170" s="292"/>
      <c r="V170" s="292"/>
      <c r="W170" s="292"/>
      <c r="X170" s="292"/>
      <c r="Y170" s="292"/>
      <c r="Z170" s="292"/>
      <c r="AI170" s="290"/>
      <c r="AJ170" s="290"/>
      <c r="AK170" s="290"/>
      <c r="AL170" s="290"/>
      <c r="AM170" s="290"/>
      <c r="AN170" s="290"/>
      <c r="AO170" s="290"/>
      <c r="AP170" s="290"/>
      <c r="AQ170" s="290"/>
      <c r="AR170" s="290"/>
      <c r="AS170" s="290"/>
      <c r="AT170" s="290"/>
      <c r="AU170" s="290"/>
      <c r="AV170" s="290"/>
      <c r="AW170" s="290"/>
      <c r="AX170" s="290"/>
      <c r="AY170" s="290"/>
    </row>
    <row r="171" spans="1:51" s="286" customFormat="1" x14ac:dyDescent="0.2">
      <c r="A171" s="291"/>
      <c r="B171" s="291"/>
      <c r="G171" s="293"/>
      <c r="I171" s="294"/>
      <c r="J171" s="288"/>
      <c r="K171" s="288"/>
      <c r="L171" s="288"/>
      <c r="M171" s="288"/>
      <c r="N171" s="288"/>
      <c r="O171" s="288"/>
      <c r="P171" s="292"/>
      <c r="Q171" s="292"/>
      <c r="R171" s="292"/>
      <c r="S171" s="292"/>
      <c r="T171" s="292"/>
      <c r="U171" s="292"/>
      <c r="V171" s="292"/>
      <c r="W171" s="292"/>
      <c r="X171" s="292"/>
      <c r="Y171" s="292"/>
      <c r="Z171" s="292"/>
      <c r="AI171" s="290"/>
      <c r="AJ171" s="290"/>
      <c r="AK171" s="290"/>
      <c r="AL171" s="290"/>
      <c r="AM171" s="290"/>
      <c r="AN171" s="290"/>
      <c r="AO171" s="290"/>
      <c r="AP171" s="290"/>
      <c r="AQ171" s="290"/>
      <c r="AR171" s="290"/>
      <c r="AS171" s="290"/>
      <c r="AT171" s="290"/>
      <c r="AU171" s="290"/>
      <c r="AV171" s="290"/>
      <c r="AW171" s="290"/>
      <c r="AX171" s="290"/>
      <c r="AY171" s="290"/>
    </row>
    <row r="172" spans="1:51" s="286" customFormat="1" x14ac:dyDescent="0.2">
      <c r="A172" s="291"/>
      <c r="B172" s="291"/>
      <c r="G172" s="293"/>
      <c r="I172" s="294"/>
      <c r="J172" s="288"/>
      <c r="K172" s="288"/>
      <c r="L172" s="288"/>
      <c r="M172" s="288"/>
      <c r="N172" s="288"/>
      <c r="O172" s="288"/>
      <c r="P172" s="292"/>
      <c r="Q172" s="292"/>
      <c r="R172" s="292"/>
      <c r="S172" s="292"/>
      <c r="T172" s="292"/>
      <c r="U172" s="292"/>
      <c r="V172" s="292"/>
      <c r="W172" s="292"/>
      <c r="X172" s="292"/>
      <c r="Y172" s="292"/>
      <c r="Z172" s="292"/>
      <c r="AI172" s="290"/>
      <c r="AJ172" s="290"/>
      <c r="AK172" s="290"/>
      <c r="AL172" s="290"/>
      <c r="AM172" s="290"/>
      <c r="AN172" s="290"/>
      <c r="AO172" s="290"/>
      <c r="AP172" s="290"/>
      <c r="AQ172" s="290"/>
      <c r="AR172" s="290"/>
      <c r="AS172" s="290"/>
      <c r="AT172" s="290"/>
      <c r="AU172" s="290"/>
      <c r="AV172" s="290"/>
      <c r="AW172" s="290"/>
      <c r="AX172" s="290"/>
      <c r="AY172" s="290"/>
    </row>
    <row r="173" spans="1:51" s="286" customFormat="1" x14ac:dyDescent="0.2">
      <c r="A173" s="291"/>
      <c r="B173" s="291"/>
      <c r="G173" s="293"/>
      <c r="I173" s="294"/>
      <c r="J173" s="288"/>
      <c r="K173" s="288"/>
      <c r="L173" s="288"/>
      <c r="M173" s="288"/>
      <c r="N173" s="288"/>
      <c r="O173" s="288"/>
      <c r="P173" s="292"/>
      <c r="Q173" s="292"/>
      <c r="R173" s="292"/>
      <c r="S173" s="292"/>
      <c r="T173" s="292"/>
      <c r="U173" s="292"/>
      <c r="V173" s="292"/>
      <c r="W173" s="292"/>
      <c r="X173" s="292"/>
      <c r="Y173" s="292"/>
      <c r="Z173" s="292"/>
      <c r="AI173" s="290"/>
      <c r="AJ173" s="290"/>
      <c r="AK173" s="290"/>
      <c r="AL173" s="290"/>
      <c r="AM173" s="290"/>
      <c r="AN173" s="290"/>
      <c r="AO173" s="290"/>
      <c r="AP173" s="290"/>
      <c r="AQ173" s="290"/>
      <c r="AR173" s="290"/>
      <c r="AS173" s="290"/>
      <c r="AT173" s="290"/>
      <c r="AU173" s="290"/>
      <c r="AV173" s="290"/>
      <c r="AW173" s="290"/>
      <c r="AX173" s="290"/>
      <c r="AY173" s="290"/>
    </row>
    <row r="174" spans="1:51" s="286" customFormat="1" x14ac:dyDescent="0.2">
      <c r="A174" s="291"/>
      <c r="B174" s="291"/>
      <c r="G174" s="293"/>
      <c r="I174" s="294"/>
      <c r="J174" s="288"/>
      <c r="K174" s="288"/>
      <c r="L174" s="288"/>
      <c r="M174" s="288"/>
      <c r="N174" s="288"/>
      <c r="O174" s="288"/>
      <c r="P174" s="292"/>
      <c r="Q174" s="292"/>
      <c r="R174" s="292"/>
      <c r="S174" s="292"/>
      <c r="T174" s="292"/>
      <c r="U174" s="292"/>
      <c r="V174" s="292"/>
      <c r="W174" s="292"/>
      <c r="X174" s="292"/>
      <c r="Y174" s="292"/>
      <c r="Z174" s="292"/>
      <c r="AI174" s="290"/>
      <c r="AJ174" s="290"/>
      <c r="AK174" s="290"/>
      <c r="AL174" s="290"/>
      <c r="AM174" s="290"/>
      <c r="AN174" s="290"/>
      <c r="AO174" s="290"/>
      <c r="AP174" s="290"/>
      <c r="AQ174" s="290"/>
      <c r="AR174" s="290"/>
      <c r="AS174" s="290"/>
      <c r="AT174" s="290"/>
      <c r="AU174" s="290"/>
      <c r="AV174" s="290"/>
      <c r="AW174" s="290"/>
      <c r="AX174" s="290"/>
      <c r="AY174" s="290"/>
    </row>
    <row r="175" spans="1:51" s="286" customFormat="1" x14ac:dyDescent="0.2">
      <c r="A175" s="291"/>
      <c r="B175" s="291"/>
      <c r="G175" s="293"/>
      <c r="I175" s="294"/>
      <c r="J175" s="288"/>
      <c r="K175" s="288"/>
      <c r="L175" s="288"/>
      <c r="M175" s="288"/>
      <c r="N175" s="288"/>
      <c r="O175" s="288"/>
      <c r="P175" s="292"/>
      <c r="Q175" s="292"/>
      <c r="R175" s="292"/>
      <c r="S175" s="292"/>
      <c r="T175" s="292"/>
      <c r="U175" s="292"/>
      <c r="V175" s="292"/>
      <c r="W175" s="292"/>
      <c r="X175" s="292"/>
      <c r="Y175" s="292"/>
      <c r="Z175" s="292"/>
      <c r="AI175" s="290"/>
      <c r="AJ175" s="290"/>
      <c r="AK175" s="290"/>
      <c r="AL175" s="290"/>
      <c r="AM175" s="290"/>
      <c r="AN175" s="290"/>
      <c r="AO175" s="290"/>
      <c r="AP175" s="290"/>
      <c r="AQ175" s="290"/>
      <c r="AR175" s="290"/>
      <c r="AS175" s="290"/>
      <c r="AT175" s="290"/>
      <c r="AU175" s="290"/>
      <c r="AV175" s="290"/>
      <c r="AW175" s="290"/>
      <c r="AX175" s="290"/>
      <c r="AY175" s="290"/>
    </row>
    <row r="176" spans="1:51" s="286" customFormat="1" x14ac:dyDescent="0.2">
      <c r="A176" s="291"/>
      <c r="B176" s="291"/>
      <c r="G176" s="293"/>
      <c r="I176" s="294"/>
      <c r="J176" s="288"/>
      <c r="K176" s="288"/>
      <c r="L176" s="288"/>
      <c r="M176" s="288"/>
      <c r="N176" s="288"/>
      <c r="O176" s="288"/>
      <c r="P176" s="292"/>
      <c r="Q176" s="292"/>
      <c r="R176" s="292"/>
      <c r="S176" s="292"/>
      <c r="T176" s="292"/>
      <c r="U176" s="292"/>
      <c r="V176" s="292"/>
      <c r="W176" s="292"/>
      <c r="X176" s="292"/>
      <c r="Y176" s="292"/>
      <c r="Z176" s="292"/>
      <c r="AI176" s="290"/>
      <c r="AJ176" s="290"/>
      <c r="AK176" s="290"/>
      <c r="AL176" s="290"/>
      <c r="AM176" s="290"/>
      <c r="AN176" s="290"/>
      <c r="AO176" s="290"/>
      <c r="AP176" s="290"/>
      <c r="AQ176" s="290"/>
      <c r="AR176" s="290"/>
      <c r="AS176" s="290"/>
      <c r="AT176" s="290"/>
      <c r="AU176" s="290"/>
      <c r="AV176" s="290"/>
      <c r="AW176" s="290"/>
      <c r="AX176" s="290"/>
      <c r="AY176" s="290"/>
    </row>
    <row r="177" spans="1:51" s="286" customFormat="1" x14ac:dyDescent="0.2">
      <c r="A177" s="291"/>
      <c r="B177" s="291"/>
      <c r="G177" s="293"/>
      <c r="I177" s="294"/>
      <c r="J177" s="288"/>
      <c r="K177" s="288"/>
      <c r="L177" s="288"/>
      <c r="M177" s="288"/>
      <c r="N177" s="288"/>
      <c r="O177" s="288"/>
      <c r="P177" s="292"/>
      <c r="Q177" s="292"/>
      <c r="R177" s="292"/>
      <c r="S177" s="292"/>
      <c r="T177" s="292"/>
      <c r="U177" s="292"/>
      <c r="V177" s="292"/>
      <c r="W177" s="292"/>
      <c r="X177" s="292"/>
      <c r="Y177" s="292"/>
      <c r="Z177" s="292"/>
      <c r="AI177" s="290"/>
      <c r="AJ177" s="290"/>
      <c r="AK177" s="290"/>
      <c r="AL177" s="290"/>
      <c r="AM177" s="290"/>
      <c r="AN177" s="290"/>
      <c r="AO177" s="290"/>
      <c r="AP177" s="290"/>
      <c r="AQ177" s="290"/>
      <c r="AR177" s="290"/>
      <c r="AS177" s="290"/>
      <c r="AT177" s="290"/>
      <c r="AU177" s="290"/>
      <c r="AV177" s="290"/>
      <c r="AW177" s="290"/>
      <c r="AX177" s="290"/>
      <c r="AY177" s="290"/>
    </row>
    <row r="178" spans="1:51" s="286" customFormat="1" x14ac:dyDescent="0.2">
      <c r="A178" s="291"/>
      <c r="B178" s="291"/>
      <c r="G178" s="293"/>
      <c r="I178" s="294"/>
      <c r="J178" s="288"/>
      <c r="K178" s="288"/>
      <c r="L178" s="288"/>
      <c r="M178" s="288"/>
      <c r="N178" s="288"/>
      <c r="O178" s="288"/>
      <c r="P178" s="292"/>
      <c r="Q178" s="292"/>
      <c r="R178" s="292"/>
      <c r="S178" s="292"/>
      <c r="T178" s="292"/>
      <c r="U178" s="292"/>
      <c r="V178" s="292"/>
      <c r="W178" s="292"/>
      <c r="X178" s="292"/>
      <c r="Y178" s="292"/>
      <c r="Z178" s="292"/>
      <c r="AI178" s="290"/>
      <c r="AJ178" s="290"/>
      <c r="AK178" s="290"/>
      <c r="AL178" s="290"/>
      <c r="AM178" s="290"/>
      <c r="AN178" s="290"/>
      <c r="AO178" s="290"/>
      <c r="AP178" s="290"/>
      <c r="AQ178" s="290"/>
      <c r="AR178" s="290"/>
      <c r="AS178" s="290"/>
      <c r="AT178" s="290"/>
      <c r="AU178" s="290"/>
      <c r="AV178" s="290"/>
      <c r="AW178" s="290"/>
      <c r="AX178" s="290"/>
      <c r="AY178" s="290"/>
    </row>
    <row r="179" spans="1:51" s="286" customFormat="1" x14ac:dyDescent="0.2">
      <c r="A179" s="291"/>
      <c r="B179" s="291"/>
      <c r="G179" s="293"/>
      <c r="I179" s="294"/>
      <c r="J179" s="288"/>
      <c r="K179" s="288"/>
      <c r="L179" s="288"/>
      <c r="M179" s="288"/>
      <c r="N179" s="288"/>
      <c r="O179" s="288"/>
      <c r="P179" s="292"/>
      <c r="Q179" s="292"/>
      <c r="R179" s="292"/>
      <c r="S179" s="292"/>
      <c r="T179" s="292"/>
      <c r="U179" s="292"/>
      <c r="V179" s="292"/>
      <c r="W179" s="292"/>
      <c r="X179" s="292"/>
      <c r="Y179" s="292"/>
      <c r="Z179" s="292"/>
      <c r="AI179" s="290"/>
      <c r="AJ179" s="290"/>
      <c r="AK179" s="290"/>
      <c r="AL179" s="290"/>
      <c r="AM179" s="290"/>
      <c r="AN179" s="290"/>
      <c r="AO179" s="290"/>
      <c r="AP179" s="290"/>
      <c r="AQ179" s="290"/>
      <c r="AR179" s="290"/>
      <c r="AS179" s="290"/>
      <c r="AT179" s="290"/>
      <c r="AU179" s="290"/>
      <c r="AV179" s="290"/>
      <c r="AW179" s="290"/>
      <c r="AX179" s="290"/>
      <c r="AY179" s="290"/>
    </row>
    <row r="180" spans="1:51" s="286" customFormat="1" x14ac:dyDescent="0.2">
      <c r="A180" s="291"/>
      <c r="B180" s="291"/>
      <c r="G180" s="293"/>
      <c r="I180" s="294"/>
      <c r="J180" s="288"/>
      <c r="K180" s="288"/>
      <c r="L180" s="288"/>
      <c r="M180" s="288"/>
      <c r="N180" s="288"/>
      <c r="O180" s="288"/>
      <c r="P180" s="292"/>
      <c r="Q180" s="292"/>
      <c r="R180" s="292"/>
      <c r="S180" s="292"/>
      <c r="T180" s="292"/>
      <c r="U180" s="292"/>
      <c r="V180" s="292"/>
      <c r="W180" s="292"/>
      <c r="X180" s="292"/>
      <c r="Y180" s="292"/>
      <c r="Z180" s="292"/>
      <c r="AI180" s="290"/>
      <c r="AJ180" s="290"/>
      <c r="AK180" s="290"/>
      <c r="AL180" s="290"/>
      <c r="AM180" s="290"/>
      <c r="AN180" s="290"/>
      <c r="AO180" s="290"/>
      <c r="AP180" s="290"/>
      <c r="AQ180" s="290"/>
      <c r="AR180" s="290"/>
      <c r="AS180" s="290"/>
      <c r="AT180" s="290"/>
      <c r="AU180" s="290"/>
      <c r="AV180" s="290"/>
      <c r="AW180" s="290"/>
      <c r="AX180" s="290"/>
      <c r="AY180" s="290"/>
    </row>
    <row r="181" spans="1:51" s="286" customFormat="1" x14ac:dyDescent="0.2">
      <c r="A181" s="291"/>
      <c r="B181" s="291"/>
      <c r="G181" s="293"/>
      <c r="I181" s="294"/>
      <c r="J181" s="288"/>
      <c r="K181" s="288"/>
      <c r="L181" s="288"/>
      <c r="M181" s="288"/>
      <c r="N181" s="288"/>
      <c r="O181" s="288"/>
      <c r="P181" s="292"/>
      <c r="Q181" s="292"/>
      <c r="R181" s="292"/>
      <c r="S181" s="292"/>
      <c r="T181" s="292"/>
      <c r="U181" s="292"/>
      <c r="V181" s="292"/>
      <c r="W181" s="292"/>
      <c r="X181" s="292"/>
      <c r="Y181" s="292"/>
      <c r="Z181" s="292"/>
      <c r="AI181" s="290"/>
      <c r="AJ181" s="290"/>
      <c r="AK181" s="290"/>
      <c r="AL181" s="290"/>
      <c r="AM181" s="290"/>
      <c r="AN181" s="290"/>
      <c r="AO181" s="290"/>
      <c r="AP181" s="290"/>
      <c r="AQ181" s="290"/>
      <c r="AR181" s="290"/>
      <c r="AS181" s="290"/>
      <c r="AT181" s="290"/>
      <c r="AU181" s="290"/>
      <c r="AV181" s="290"/>
      <c r="AW181" s="290"/>
      <c r="AX181" s="290"/>
      <c r="AY181" s="290"/>
    </row>
    <row r="182" spans="1:51" s="286" customFormat="1" x14ac:dyDescent="0.2">
      <c r="A182" s="291"/>
      <c r="B182" s="291"/>
      <c r="G182" s="293"/>
      <c r="I182" s="294"/>
      <c r="J182" s="288"/>
      <c r="K182" s="288"/>
      <c r="L182" s="288"/>
      <c r="M182" s="288"/>
      <c r="N182" s="288"/>
      <c r="O182" s="288"/>
      <c r="P182" s="292"/>
      <c r="Q182" s="292"/>
      <c r="R182" s="292"/>
      <c r="S182" s="292"/>
      <c r="T182" s="292"/>
      <c r="U182" s="292"/>
      <c r="V182" s="292"/>
      <c r="W182" s="292"/>
      <c r="X182" s="292"/>
      <c r="Y182" s="292"/>
      <c r="Z182" s="292"/>
      <c r="AI182" s="290"/>
      <c r="AJ182" s="290"/>
      <c r="AK182" s="290"/>
      <c r="AL182" s="290"/>
      <c r="AM182" s="290"/>
      <c r="AN182" s="290"/>
      <c r="AO182" s="290"/>
      <c r="AP182" s="290"/>
      <c r="AQ182" s="290"/>
      <c r="AR182" s="290"/>
      <c r="AS182" s="290"/>
      <c r="AT182" s="290"/>
      <c r="AU182" s="290"/>
      <c r="AV182" s="290"/>
      <c r="AW182" s="290"/>
      <c r="AX182" s="290"/>
      <c r="AY182" s="290"/>
    </row>
    <row r="183" spans="1:51" s="286" customFormat="1" x14ac:dyDescent="0.2">
      <c r="A183" s="291"/>
      <c r="B183" s="291"/>
      <c r="G183" s="293"/>
      <c r="I183" s="294"/>
      <c r="J183" s="288"/>
      <c r="K183" s="288"/>
      <c r="L183" s="288"/>
      <c r="M183" s="288"/>
      <c r="N183" s="288"/>
      <c r="O183" s="288"/>
      <c r="P183" s="292"/>
      <c r="Q183" s="292"/>
      <c r="R183" s="292"/>
      <c r="S183" s="292"/>
      <c r="T183" s="292"/>
      <c r="U183" s="292"/>
      <c r="V183" s="292"/>
      <c r="W183" s="292"/>
      <c r="X183" s="292"/>
      <c r="Y183" s="292"/>
      <c r="Z183" s="292"/>
      <c r="AI183" s="290"/>
      <c r="AJ183" s="290"/>
      <c r="AK183" s="290"/>
      <c r="AL183" s="290"/>
      <c r="AM183" s="290"/>
      <c r="AN183" s="290"/>
      <c r="AO183" s="290"/>
      <c r="AP183" s="290"/>
      <c r="AQ183" s="290"/>
      <c r="AR183" s="290"/>
      <c r="AS183" s="290"/>
      <c r="AT183" s="290"/>
      <c r="AU183" s="290"/>
      <c r="AV183" s="290"/>
      <c r="AW183" s="290"/>
      <c r="AX183" s="290"/>
      <c r="AY183" s="290"/>
    </row>
    <row r="184" spans="1:51" s="286" customFormat="1" x14ac:dyDescent="0.2">
      <c r="A184" s="291"/>
      <c r="B184" s="291"/>
      <c r="G184" s="293"/>
      <c r="I184" s="294"/>
      <c r="J184" s="288"/>
      <c r="K184" s="288"/>
      <c r="L184" s="288"/>
      <c r="M184" s="288"/>
      <c r="N184" s="288"/>
      <c r="O184" s="288"/>
      <c r="P184" s="292"/>
      <c r="Q184" s="292"/>
      <c r="R184" s="292"/>
      <c r="S184" s="292"/>
      <c r="T184" s="292"/>
      <c r="U184" s="292"/>
      <c r="V184" s="292"/>
      <c r="W184" s="292"/>
      <c r="X184" s="292"/>
      <c r="Y184" s="292"/>
      <c r="Z184" s="292"/>
      <c r="AI184" s="290"/>
      <c r="AJ184" s="290"/>
      <c r="AK184" s="290"/>
      <c r="AL184" s="290"/>
      <c r="AM184" s="290"/>
      <c r="AN184" s="290"/>
      <c r="AO184" s="290"/>
      <c r="AP184" s="290"/>
      <c r="AQ184" s="290"/>
      <c r="AR184" s="290"/>
      <c r="AS184" s="290"/>
      <c r="AT184" s="290"/>
      <c r="AU184" s="290"/>
      <c r="AV184" s="290"/>
      <c r="AW184" s="290"/>
      <c r="AX184" s="290"/>
      <c r="AY184" s="290"/>
    </row>
    <row r="185" spans="1:51" s="286" customFormat="1" x14ac:dyDescent="0.2">
      <c r="A185" s="291"/>
      <c r="B185" s="291"/>
      <c r="G185" s="293"/>
      <c r="I185" s="294"/>
      <c r="J185" s="288"/>
      <c r="K185" s="288"/>
      <c r="L185" s="288"/>
      <c r="M185" s="288"/>
      <c r="N185" s="288"/>
      <c r="O185" s="288"/>
      <c r="P185" s="292"/>
      <c r="Q185" s="292"/>
      <c r="R185" s="292"/>
      <c r="S185" s="292"/>
      <c r="T185" s="292"/>
      <c r="U185" s="292"/>
      <c r="V185" s="292"/>
      <c r="W185" s="292"/>
      <c r="X185" s="292"/>
      <c r="Y185" s="292"/>
      <c r="Z185" s="292"/>
      <c r="AI185" s="290"/>
      <c r="AJ185" s="290"/>
      <c r="AK185" s="290"/>
      <c r="AL185" s="290"/>
      <c r="AM185" s="290"/>
      <c r="AN185" s="290"/>
      <c r="AO185" s="290"/>
      <c r="AP185" s="290"/>
      <c r="AQ185" s="290"/>
      <c r="AR185" s="290"/>
      <c r="AS185" s="290"/>
      <c r="AT185" s="290"/>
      <c r="AU185" s="290"/>
      <c r="AV185" s="290"/>
      <c r="AW185" s="290"/>
      <c r="AX185" s="290"/>
      <c r="AY185" s="290"/>
    </row>
    <row r="186" spans="1:51" s="286" customFormat="1" x14ac:dyDescent="0.2">
      <c r="A186" s="291"/>
      <c r="B186" s="291"/>
      <c r="G186" s="293"/>
      <c r="I186" s="294"/>
      <c r="J186" s="288"/>
      <c r="K186" s="288"/>
      <c r="L186" s="288"/>
      <c r="M186" s="288"/>
      <c r="N186" s="288"/>
      <c r="O186" s="288"/>
      <c r="P186" s="292"/>
      <c r="Q186" s="292"/>
      <c r="R186" s="292"/>
      <c r="S186" s="292"/>
      <c r="T186" s="292"/>
      <c r="U186" s="292"/>
      <c r="V186" s="292"/>
      <c r="W186" s="292"/>
      <c r="X186" s="292"/>
      <c r="Y186" s="292"/>
      <c r="Z186" s="292"/>
      <c r="AI186" s="290"/>
      <c r="AJ186" s="290"/>
      <c r="AK186" s="290"/>
      <c r="AL186" s="290"/>
      <c r="AM186" s="290"/>
      <c r="AN186" s="290"/>
      <c r="AO186" s="290"/>
      <c r="AP186" s="290"/>
      <c r="AQ186" s="290"/>
      <c r="AR186" s="290"/>
      <c r="AS186" s="290"/>
      <c r="AT186" s="290"/>
      <c r="AU186" s="290"/>
      <c r="AV186" s="290"/>
      <c r="AW186" s="290"/>
      <c r="AX186" s="290"/>
      <c r="AY186" s="290"/>
    </row>
    <row r="187" spans="1:51" s="286" customFormat="1" x14ac:dyDescent="0.2">
      <c r="A187" s="291"/>
      <c r="B187" s="291"/>
      <c r="G187" s="293"/>
      <c r="I187" s="294"/>
      <c r="J187" s="288"/>
      <c r="K187" s="288"/>
      <c r="L187" s="288"/>
      <c r="M187" s="288"/>
      <c r="N187" s="288"/>
      <c r="O187" s="288"/>
      <c r="P187" s="292"/>
      <c r="Q187" s="292"/>
      <c r="R187" s="292"/>
      <c r="S187" s="292"/>
      <c r="T187" s="292"/>
      <c r="U187" s="292"/>
      <c r="V187" s="292"/>
      <c r="W187" s="292"/>
      <c r="X187" s="292"/>
      <c r="Y187" s="292"/>
      <c r="Z187" s="292"/>
      <c r="AI187" s="290"/>
      <c r="AJ187" s="290"/>
      <c r="AK187" s="290"/>
      <c r="AL187" s="290"/>
      <c r="AM187" s="290"/>
      <c r="AN187" s="290"/>
      <c r="AO187" s="290"/>
      <c r="AP187" s="290"/>
      <c r="AQ187" s="290"/>
      <c r="AR187" s="290"/>
      <c r="AS187" s="290"/>
      <c r="AT187" s="290"/>
      <c r="AU187" s="290"/>
      <c r="AV187" s="290"/>
      <c r="AW187" s="290"/>
      <c r="AX187" s="290"/>
      <c r="AY187" s="290"/>
    </row>
    <row r="188" spans="1:51" s="286" customFormat="1" x14ac:dyDescent="0.2">
      <c r="A188" s="291"/>
      <c r="B188" s="291"/>
      <c r="G188" s="293"/>
      <c r="I188" s="294"/>
      <c r="J188" s="288"/>
      <c r="K188" s="288"/>
      <c r="L188" s="288"/>
      <c r="M188" s="288"/>
      <c r="N188" s="288"/>
      <c r="O188" s="288"/>
      <c r="P188" s="292"/>
      <c r="Q188" s="292"/>
      <c r="R188" s="292"/>
      <c r="S188" s="292"/>
      <c r="T188" s="292"/>
      <c r="U188" s="292"/>
      <c r="V188" s="292"/>
      <c r="W188" s="292"/>
      <c r="X188" s="292"/>
      <c r="Y188" s="292"/>
      <c r="Z188" s="292"/>
      <c r="AI188" s="290"/>
      <c r="AJ188" s="290"/>
      <c r="AK188" s="290"/>
      <c r="AL188" s="290"/>
      <c r="AM188" s="290"/>
      <c r="AN188" s="290"/>
      <c r="AO188" s="290"/>
      <c r="AP188" s="290"/>
      <c r="AQ188" s="290"/>
      <c r="AR188" s="290"/>
      <c r="AS188" s="290"/>
      <c r="AT188" s="290"/>
      <c r="AU188" s="290"/>
      <c r="AV188" s="290"/>
      <c r="AW188" s="290"/>
      <c r="AX188" s="290"/>
      <c r="AY188" s="290"/>
    </row>
    <row r="189" spans="1:51" s="286" customFormat="1" x14ac:dyDescent="0.2">
      <c r="A189" s="291"/>
      <c r="B189" s="291"/>
      <c r="G189" s="293"/>
      <c r="I189" s="294"/>
      <c r="J189" s="288"/>
      <c r="K189" s="288"/>
      <c r="L189" s="288"/>
      <c r="M189" s="288"/>
      <c r="N189" s="288"/>
      <c r="O189" s="288"/>
      <c r="P189" s="292"/>
      <c r="Q189" s="292"/>
      <c r="R189" s="292"/>
      <c r="S189" s="292"/>
      <c r="T189" s="292"/>
      <c r="U189" s="292"/>
      <c r="V189" s="292"/>
      <c r="W189" s="292"/>
      <c r="X189" s="292"/>
      <c r="Y189" s="292"/>
      <c r="Z189" s="292"/>
      <c r="AI189" s="290"/>
      <c r="AJ189" s="290"/>
      <c r="AK189" s="290"/>
      <c r="AL189" s="290"/>
      <c r="AM189" s="290"/>
      <c r="AN189" s="290"/>
      <c r="AO189" s="290"/>
      <c r="AP189" s="290"/>
      <c r="AQ189" s="290"/>
      <c r="AR189" s="290"/>
      <c r="AS189" s="290"/>
      <c r="AT189" s="290"/>
      <c r="AU189" s="290"/>
      <c r="AV189" s="290"/>
      <c r="AW189" s="290"/>
      <c r="AX189" s="290"/>
      <c r="AY189" s="290"/>
    </row>
    <row r="190" spans="1:51" s="286" customFormat="1" x14ac:dyDescent="0.2">
      <c r="A190" s="291"/>
      <c r="B190" s="291"/>
      <c r="G190" s="293"/>
      <c r="I190" s="294"/>
      <c r="J190" s="288"/>
      <c r="K190" s="288"/>
      <c r="L190" s="288"/>
      <c r="M190" s="288"/>
      <c r="N190" s="288"/>
      <c r="O190" s="288"/>
      <c r="P190" s="292"/>
      <c r="Q190" s="292"/>
      <c r="R190" s="292"/>
      <c r="S190" s="292"/>
      <c r="T190" s="292"/>
      <c r="U190" s="292"/>
      <c r="V190" s="292"/>
      <c r="W190" s="292"/>
      <c r="X190" s="292"/>
      <c r="Y190" s="292"/>
      <c r="Z190" s="292"/>
      <c r="AI190" s="290"/>
      <c r="AJ190" s="290"/>
      <c r="AK190" s="290"/>
      <c r="AL190" s="290"/>
      <c r="AM190" s="290"/>
      <c r="AN190" s="290"/>
      <c r="AO190" s="290"/>
      <c r="AP190" s="290"/>
      <c r="AQ190" s="290"/>
      <c r="AR190" s="290"/>
      <c r="AS190" s="290"/>
      <c r="AT190" s="290"/>
      <c r="AU190" s="290"/>
      <c r="AV190" s="290"/>
      <c r="AW190" s="290"/>
      <c r="AX190" s="290"/>
      <c r="AY190" s="290"/>
    </row>
    <row r="191" spans="1:51" s="286" customFormat="1" x14ac:dyDescent="0.2">
      <c r="A191" s="291"/>
      <c r="B191" s="291"/>
      <c r="G191" s="293"/>
      <c r="I191" s="294"/>
      <c r="J191" s="288"/>
      <c r="K191" s="288"/>
      <c r="L191" s="288"/>
      <c r="M191" s="288"/>
      <c r="N191" s="288"/>
      <c r="O191" s="288"/>
      <c r="P191" s="292"/>
      <c r="Q191" s="292"/>
      <c r="R191" s="292"/>
      <c r="S191" s="292"/>
      <c r="T191" s="292"/>
      <c r="U191" s="292"/>
      <c r="V191" s="292"/>
      <c r="W191" s="292"/>
      <c r="X191" s="292"/>
      <c r="Y191" s="292"/>
      <c r="Z191" s="292"/>
      <c r="AI191" s="290"/>
      <c r="AJ191" s="290"/>
      <c r="AK191" s="290"/>
      <c r="AL191" s="290"/>
      <c r="AM191" s="290"/>
      <c r="AN191" s="290"/>
      <c r="AO191" s="290"/>
      <c r="AP191" s="290"/>
      <c r="AQ191" s="290"/>
      <c r="AR191" s="290"/>
      <c r="AS191" s="290"/>
      <c r="AT191" s="290"/>
      <c r="AU191" s="290"/>
      <c r="AV191" s="290"/>
      <c r="AW191" s="290"/>
      <c r="AX191" s="290"/>
      <c r="AY191" s="290"/>
    </row>
    <row r="192" spans="1:51" s="286" customFormat="1" x14ac:dyDescent="0.2">
      <c r="A192" s="291"/>
      <c r="B192" s="291"/>
      <c r="G192" s="293"/>
      <c r="I192" s="294"/>
      <c r="J192" s="288"/>
      <c r="K192" s="288"/>
      <c r="L192" s="288"/>
      <c r="M192" s="288"/>
      <c r="N192" s="288"/>
      <c r="O192" s="288"/>
      <c r="P192" s="292"/>
      <c r="Q192" s="292"/>
      <c r="R192" s="292"/>
      <c r="S192" s="292"/>
      <c r="T192" s="292"/>
      <c r="U192" s="292"/>
      <c r="V192" s="292"/>
      <c r="W192" s="292"/>
      <c r="X192" s="292"/>
      <c r="Y192" s="292"/>
      <c r="Z192" s="292"/>
      <c r="AI192" s="290"/>
      <c r="AJ192" s="290"/>
      <c r="AK192" s="290"/>
      <c r="AL192" s="290"/>
      <c r="AM192" s="290"/>
      <c r="AN192" s="290"/>
      <c r="AO192" s="290"/>
      <c r="AP192" s="290"/>
      <c r="AQ192" s="290"/>
      <c r="AR192" s="290"/>
      <c r="AS192" s="290"/>
      <c r="AT192" s="290"/>
      <c r="AU192" s="290"/>
      <c r="AV192" s="290"/>
      <c r="AW192" s="290"/>
      <c r="AX192" s="290"/>
      <c r="AY192" s="290"/>
    </row>
    <row r="193" spans="1:51" s="286" customFormat="1" x14ac:dyDescent="0.2">
      <c r="A193" s="291"/>
      <c r="B193" s="291"/>
      <c r="G193" s="293"/>
      <c r="I193" s="294"/>
      <c r="J193" s="288"/>
      <c r="K193" s="288"/>
      <c r="L193" s="288"/>
      <c r="M193" s="288"/>
      <c r="N193" s="288"/>
      <c r="O193" s="288"/>
      <c r="P193" s="292"/>
      <c r="Q193" s="292"/>
      <c r="R193" s="292"/>
      <c r="S193" s="292"/>
      <c r="T193" s="292"/>
      <c r="U193" s="292"/>
      <c r="V193" s="292"/>
      <c r="W193" s="292"/>
      <c r="X193" s="292"/>
      <c r="Y193" s="292"/>
      <c r="Z193" s="292"/>
      <c r="AI193" s="290"/>
      <c r="AJ193" s="290"/>
      <c r="AK193" s="290"/>
      <c r="AL193" s="290"/>
      <c r="AM193" s="290"/>
      <c r="AN193" s="290"/>
      <c r="AO193" s="290"/>
      <c r="AP193" s="290"/>
      <c r="AQ193" s="290"/>
      <c r="AR193" s="290"/>
      <c r="AS193" s="290"/>
      <c r="AT193" s="290"/>
      <c r="AU193" s="290"/>
      <c r="AV193" s="290"/>
      <c r="AW193" s="290"/>
      <c r="AX193" s="290"/>
      <c r="AY193" s="290"/>
    </row>
    <row r="194" spans="1:51" s="286" customFormat="1" x14ac:dyDescent="0.2">
      <c r="A194" s="291"/>
      <c r="B194" s="291"/>
      <c r="G194" s="293"/>
      <c r="I194" s="294"/>
      <c r="J194" s="288"/>
      <c r="K194" s="288"/>
      <c r="L194" s="288"/>
      <c r="M194" s="288"/>
      <c r="N194" s="288"/>
      <c r="O194" s="288"/>
      <c r="P194" s="292"/>
      <c r="Q194" s="292"/>
      <c r="R194" s="292"/>
      <c r="S194" s="292"/>
      <c r="T194" s="292"/>
      <c r="U194" s="292"/>
      <c r="V194" s="292"/>
      <c r="W194" s="292"/>
      <c r="X194" s="292"/>
      <c r="Y194" s="292"/>
      <c r="Z194" s="292"/>
      <c r="AI194" s="290"/>
      <c r="AJ194" s="290"/>
      <c r="AK194" s="290"/>
      <c r="AL194" s="290"/>
      <c r="AM194" s="290"/>
      <c r="AN194" s="290"/>
      <c r="AO194" s="290"/>
      <c r="AP194" s="290"/>
      <c r="AQ194" s="290"/>
      <c r="AR194" s="290"/>
      <c r="AS194" s="290"/>
      <c r="AT194" s="290"/>
      <c r="AU194" s="290"/>
      <c r="AV194" s="290"/>
      <c r="AW194" s="290"/>
      <c r="AX194" s="290"/>
      <c r="AY194" s="290"/>
    </row>
    <row r="195" spans="1:51" s="286" customFormat="1" x14ac:dyDescent="0.2">
      <c r="A195" s="291"/>
      <c r="B195" s="291"/>
      <c r="G195" s="293"/>
      <c r="I195" s="294"/>
      <c r="J195" s="288"/>
      <c r="K195" s="288"/>
      <c r="L195" s="288"/>
      <c r="M195" s="288"/>
      <c r="N195" s="288"/>
      <c r="O195" s="288"/>
      <c r="P195" s="292"/>
      <c r="Q195" s="292"/>
      <c r="R195" s="292"/>
      <c r="S195" s="292"/>
      <c r="T195" s="292"/>
      <c r="U195" s="292"/>
      <c r="V195" s="292"/>
      <c r="W195" s="292"/>
      <c r="X195" s="292"/>
      <c r="Y195" s="292"/>
      <c r="Z195" s="292"/>
      <c r="AI195" s="290"/>
      <c r="AJ195" s="290"/>
      <c r="AK195" s="290"/>
      <c r="AL195" s="290"/>
      <c r="AM195" s="290"/>
      <c r="AN195" s="290"/>
      <c r="AO195" s="290"/>
      <c r="AP195" s="290"/>
      <c r="AQ195" s="290"/>
      <c r="AR195" s="290"/>
      <c r="AS195" s="290"/>
      <c r="AT195" s="290"/>
      <c r="AU195" s="290"/>
      <c r="AV195" s="290"/>
      <c r="AW195" s="290"/>
      <c r="AX195" s="290"/>
      <c r="AY195" s="290"/>
    </row>
    <row r="196" spans="1:51" s="286" customFormat="1" x14ac:dyDescent="0.2">
      <c r="A196" s="291"/>
      <c r="B196" s="291"/>
      <c r="G196" s="293"/>
      <c r="I196" s="294"/>
      <c r="J196" s="288"/>
      <c r="K196" s="288"/>
      <c r="L196" s="288"/>
      <c r="M196" s="288"/>
      <c r="N196" s="288"/>
      <c r="O196" s="288"/>
      <c r="P196" s="292"/>
      <c r="Q196" s="292"/>
      <c r="R196" s="292"/>
      <c r="S196" s="292"/>
      <c r="T196" s="292"/>
      <c r="U196" s="292"/>
      <c r="V196" s="292"/>
      <c r="W196" s="292"/>
      <c r="X196" s="292"/>
      <c r="Y196" s="292"/>
      <c r="Z196" s="292"/>
      <c r="AI196" s="290"/>
      <c r="AJ196" s="290"/>
      <c r="AK196" s="290"/>
      <c r="AL196" s="290"/>
      <c r="AM196" s="290"/>
      <c r="AN196" s="290"/>
      <c r="AO196" s="290"/>
      <c r="AP196" s="290"/>
      <c r="AQ196" s="290"/>
      <c r="AR196" s="290"/>
      <c r="AS196" s="290"/>
      <c r="AT196" s="290"/>
      <c r="AU196" s="290"/>
      <c r="AV196" s="290"/>
      <c r="AW196" s="290"/>
      <c r="AX196" s="290"/>
      <c r="AY196" s="290"/>
    </row>
    <row r="197" spans="1:51" s="286" customFormat="1" x14ac:dyDescent="0.2">
      <c r="A197" s="291"/>
      <c r="B197" s="291"/>
      <c r="G197" s="293"/>
      <c r="I197" s="294"/>
      <c r="J197" s="288"/>
      <c r="K197" s="288"/>
      <c r="L197" s="288"/>
      <c r="M197" s="288"/>
      <c r="N197" s="288"/>
      <c r="O197" s="288"/>
      <c r="P197" s="292"/>
      <c r="Q197" s="292"/>
      <c r="R197" s="292"/>
      <c r="S197" s="292"/>
      <c r="T197" s="292"/>
      <c r="U197" s="292"/>
      <c r="V197" s="292"/>
      <c r="W197" s="292"/>
      <c r="X197" s="292"/>
      <c r="Y197" s="292"/>
      <c r="Z197" s="292"/>
      <c r="AI197" s="290"/>
      <c r="AJ197" s="290"/>
      <c r="AK197" s="290"/>
      <c r="AL197" s="290"/>
      <c r="AM197" s="290"/>
      <c r="AN197" s="290"/>
      <c r="AO197" s="290"/>
      <c r="AP197" s="290"/>
      <c r="AQ197" s="290"/>
      <c r="AR197" s="290"/>
      <c r="AS197" s="290"/>
      <c r="AT197" s="290"/>
      <c r="AU197" s="290"/>
      <c r="AV197" s="290"/>
      <c r="AW197" s="290"/>
      <c r="AX197" s="290"/>
      <c r="AY197" s="290"/>
    </row>
  </sheetData>
  <sheetProtection algorithmName="SHA-512" hashValue="1Kv+SpKBonvWffwEWK1Dm83ty9R68AgzYHFfx1KYO/SH46/TXLDj0oLRbd2N6ARywW7WgxyjeqGMASPc33eG9g==" saltValue="fETz0+H/kPUqNbS+5c/8DQ==" spinCount="100000" sheet="1" objects="1" scenarios="1"/>
  <dataConsolidate/>
  <mergeCells count="18">
    <mergeCell ref="A3:C3"/>
    <mergeCell ref="D2:E2"/>
    <mergeCell ref="D3:E3"/>
    <mergeCell ref="D4:E4"/>
    <mergeCell ref="E5:F5"/>
    <mergeCell ref="E6:F6"/>
    <mergeCell ref="E7:F7"/>
    <mergeCell ref="E8:F8"/>
    <mergeCell ref="E9:F9"/>
    <mergeCell ref="E10:F10"/>
    <mergeCell ref="A149:F149"/>
    <mergeCell ref="A157:F157"/>
    <mergeCell ref="D16:E16"/>
    <mergeCell ref="D17:E17"/>
    <mergeCell ref="D18:E18"/>
    <mergeCell ref="D19:E19"/>
    <mergeCell ref="D20:E20"/>
    <mergeCell ref="D21:E21"/>
  </mergeCells>
  <phoneticPr fontId="4" type="noConversion"/>
  <conditionalFormatting sqref="A22">
    <cfRule type="expression" dxfId="78" priority="2">
      <formula>A25=""</formula>
    </cfRule>
  </conditionalFormatting>
  <conditionalFormatting sqref="A32">
    <cfRule type="expression" dxfId="77" priority="1">
      <formula>A35=""</formula>
    </cfRule>
  </conditionalFormatting>
  <conditionalFormatting sqref="A103">
    <cfRule type="expression" dxfId="76" priority="195">
      <formula>A105=""</formula>
    </cfRule>
    <cfRule type="expression" dxfId="75" priority="194">
      <formula>AND(V113=TRUE)</formula>
    </cfRule>
  </conditionalFormatting>
  <conditionalFormatting sqref="A112">
    <cfRule type="expression" dxfId="74" priority="10">
      <formula>A115=""</formula>
    </cfRule>
  </conditionalFormatting>
  <conditionalFormatting sqref="A3:C3">
    <cfRule type="containsText" dxfId="73" priority="79" operator="containsText" text="Note">
      <formula>NOT(ISERROR(SEARCH("Note",A3)))</formula>
    </cfRule>
  </conditionalFormatting>
  <conditionalFormatting sqref="D5">
    <cfRule type="expression" dxfId="72" priority="147" stopIfTrue="1">
      <formula>AND($E$5="",$E$5="")</formula>
    </cfRule>
  </conditionalFormatting>
  <conditionalFormatting sqref="D6">
    <cfRule type="expression" dxfId="71" priority="146" stopIfTrue="1">
      <formula>AND($E$6="",$E$6="")</formula>
    </cfRule>
  </conditionalFormatting>
  <conditionalFormatting sqref="D7:D8">
    <cfRule type="expression" dxfId="70" priority="91">
      <formula>AND($E$7="",$E$8="")</formula>
    </cfRule>
  </conditionalFormatting>
  <conditionalFormatting sqref="E14:E15 F15 E24:F24 E34:F34 F114">
    <cfRule type="cellIs" dxfId="69" priority="181" stopIfTrue="1" operator="equal">
      <formula>"Point Maximum Reached"</formula>
    </cfRule>
  </conditionalFormatting>
  <conditionalFormatting sqref="E23">
    <cfRule type="cellIs" dxfId="68" priority="161" stopIfTrue="1" operator="equal">
      <formula>"Point Maximum Reached"</formula>
    </cfRule>
  </conditionalFormatting>
  <conditionalFormatting sqref="E42">
    <cfRule type="cellIs" dxfId="67" priority="193" stopIfTrue="1" operator="equal">
      <formula>"Error - Mgt pts capped at 5/cycle"</formula>
    </cfRule>
  </conditionalFormatting>
  <conditionalFormatting sqref="E43:E45">
    <cfRule type="cellIs" dxfId="66" priority="142" stopIfTrue="1" operator="equal">
      <formula>"IH Points, Minimum Achieved"</formula>
    </cfRule>
  </conditionalFormatting>
  <conditionalFormatting sqref="E44:E45">
    <cfRule type="containsText" dxfId="65" priority="138" stopIfTrue="1" operator="containsText" text="Maximum Reached">
      <formula>NOT(ISERROR(SEARCH("Maximum Reached",E44)))</formula>
    </cfRule>
  </conditionalFormatting>
  <conditionalFormatting sqref="E105:E111">
    <cfRule type="expression" dxfId="64" priority="68">
      <formula>W105=TRUE</formula>
    </cfRule>
  </conditionalFormatting>
  <conditionalFormatting sqref="E113">
    <cfRule type="cellIs" dxfId="63" priority="175" stopIfTrue="1" operator="equal">
      <formula>"Point Maximum Reached"</formula>
    </cfRule>
  </conditionalFormatting>
  <conditionalFormatting sqref="E116:E124">
    <cfRule type="expression" dxfId="62" priority="133" stopIfTrue="1">
      <formula>D116="Poster Session - Nat/Int Conf"</formula>
    </cfRule>
  </conditionalFormatting>
  <conditionalFormatting sqref="E127:E131">
    <cfRule type="cellIs" dxfId="61" priority="11" stopIfTrue="1" operator="equal">
      <formula>"IH Points, Minimum Achieved"</formula>
    </cfRule>
  </conditionalFormatting>
  <conditionalFormatting sqref="E133:E139">
    <cfRule type="expression" dxfId="60" priority="88">
      <formula>OR(U133=TRUE,S133=TRUE,T133=TRUE)</formula>
    </cfRule>
  </conditionalFormatting>
  <conditionalFormatting sqref="E143:E144">
    <cfRule type="expression" dxfId="59" priority="199">
      <formula>OR(U142=TRUE,V142=TRUE)</formula>
    </cfRule>
  </conditionalFormatting>
  <conditionalFormatting sqref="E145:E147">
    <cfRule type="expression" dxfId="58" priority="31">
      <formula>OR(U145=TRUE,V145=TRUE)</formula>
    </cfRule>
  </conditionalFormatting>
  <conditionalFormatting sqref="F44:F45">
    <cfRule type="cellIs" dxfId="57" priority="169" stopIfTrue="1" operator="between">
      <formula>0.33</formula>
      <formula>5</formula>
    </cfRule>
    <cfRule type="cellIs" dxfId="56" priority="168" stopIfTrue="1" operator="lessThan">
      <formula>0.33</formula>
    </cfRule>
    <cfRule type="cellIs" dxfId="55" priority="170" stopIfTrue="1" operator="greaterThan">
      <formula>5</formula>
    </cfRule>
  </conditionalFormatting>
  <conditionalFormatting sqref="F105:F111">
    <cfRule type="expression" dxfId="54" priority="69">
      <formula>W105=TRUE</formula>
    </cfRule>
  </conditionalFormatting>
  <conditionalFormatting sqref="G2">
    <cfRule type="containsText" dxfId="53" priority="116" operator="containsText" text="recertify">
      <formula>NOT(ISERROR(SEARCH("recertify",G2)))</formula>
    </cfRule>
    <cfRule type="containsText" dxfId="52" priority="115" operator="containsText" text="accepted">
      <formula>NOT(ISERROR(SEARCH("accepted",G2)))</formula>
    </cfRule>
  </conditionalFormatting>
  <conditionalFormatting sqref="G2:G10 G48:G102">
    <cfRule type="notContainsBlanks" dxfId="51" priority="59">
      <formula>LEN(TRIM(G2))&gt;0</formula>
    </cfRule>
  </conditionalFormatting>
  <conditionalFormatting sqref="G3">
    <cfRule type="containsText" dxfId="50" priority="119" stopIfTrue="1" operator="containsText" text="recertify">
      <formula>NOT(ISERROR(SEARCH("recertify",G3)))</formula>
    </cfRule>
    <cfRule type="containsText" dxfId="49" priority="152" stopIfTrue="1" operator="containsText" text="accepted">
      <formula>NOT(ISERROR(SEARCH("accepted",G3)))</formula>
    </cfRule>
  </conditionalFormatting>
  <conditionalFormatting sqref="G4">
    <cfRule type="containsText" dxfId="48" priority="117" operator="containsText" text="accepted">
      <formula>NOT(ISERROR(SEARCH("accepted",G4)))</formula>
    </cfRule>
    <cfRule type="containsText" dxfId="47" priority="118" operator="containsText" text="recertify">
      <formula>NOT(ISERROR(SEARCH("recertify",G4)))</formula>
    </cfRule>
  </conditionalFormatting>
  <conditionalFormatting sqref="G5">
    <cfRule type="containsText" dxfId="46" priority="114" operator="containsText" text="enable">
      <formula>NOT(ISERROR(SEARCH("enable",G5)))</formula>
    </cfRule>
  </conditionalFormatting>
  <conditionalFormatting sqref="G6">
    <cfRule type="containsText" dxfId="45" priority="77" operator="containsText" text="contact">
      <formula>NOT(ISERROR(SEARCH("contact",G6)))</formula>
    </cfRule>
  </conditionalFormatting>
  <conditionalFormatting sqref="G6:G7">
    <cfRule type="containsText" dxfId="44" priority="78" operator="containsText" text="Enter">
      <formula>NOT(ISERROR(SEARCH("Enter",G6)))</formula>
    </cfRule>
  </conditionalFormatting>
  <conditionalFormatting sqref="G8">
    <cfRule type="containsText" dxfId="43" priority="99" operator="containsText" text="right">
      <formula>NOT(ISERROR(SEARCH("right",G8)))</formula>
    </cfRule>
  </conditionalFormatting>
  <conditionalFormatting sqref="G9">
    <cfRule type="containsText" dxfId="42" priority="96" operator="containsText" text="LOA">
      <formula>NOT(ISERROR(SEARCH("LOA",G9)))</formula>
    </cfRule>
  </conditionalFormatting>
  <conditionalFormatting sqref="G14">
    <cfRule type="containsText" dxfId="41" priority="98" operator="containsText" text="reached">
      <formula>NOT(ISERROR(SEARCH("reached",G14)))</formula>
    </cfRule>
    <cfRule type="notContainsBlanks" dxfId="40" priority="58">
      <formula>LEN(TRIM(G14))&gt;0</formula>
    </cfRule>
  </conditionalFormatting>
  <conditionalFormatting sqref="G23">
    <cfRule type="containsText" dxfId="39" priority="95" operator="containsText" text="maximum">
      <formula>NOT(ISERROR(SEARCH("maximum",G23)))</formula>
    </cfRule>
    <cfRule type="notContainsBlanks" dxfId="38" priority="57">
      <formula>LEN(TRIM(G23))&gt;0</formula>
    </cfRule>
  </conditionalFormatting>
  <conditionalFormatting sqref="G26:G32">
    <cfRule type="containsText" dxfId="37" priority="72" operator="containsText" text="local section">
      <formula>NOT(ISERROR(SEARCH("local section",G26)))</formula>
    </cfRule>
    <cfRule type="containsText" dxfId="36" priority="112" operator="containsText" text="consistent">
      <formula>NOT(ISERROR(SEARCH("consistent",G26)))</formula>
    </cfRule>
    <cfRule type="notContainsBlanks" dxfId="35" priority="56">
      <formula>LEN(TRIM(G26))&gt;0</formula>
    </cfRule>
  </conditionalFormatting>
  <conditionalFormatting sqref="G36:G41">
    <cfRule type="containsText" dxfId="34" priority="110" operator="containsText" text="eligible">
      <formula>NOT(ISERROR(SEARCH("eligible",G36)))</formula>
    </cfRule>
    <cfRule type="containsText" dxfId="33" priority="111" operator="containsText" text="date">
      <formula>NOT(ISERROR(SEARCH("date",G36)))</formula>
    </cfRule>
    <cfRule type="notContainsBlanks" dxfId="32" priority="55">
      <formula>LEN(TRIM(G36))&gt;0</formula>
    </cfRule>
  </conditionalFormatting>
  <conditionalFormatting sqref="G43">
    <cfRule type="containsText" dxfId="31" priority="136" stopIfTrue="1" operator="containsText" text="IH Points - Minimum Not Achieved">
      <formula>NOT(ISERROR(SEARCH("IH Points - Minimum Not Achieved",G43)))</formula>
    </cfRule>
  </conditionalFormatting>
  <conditionalFormatting sqref="G43:G45">
    <cfRule type="containsText" dxfId="30" priority="139" stopIfTrue="1" operator="containsText" text="Minimum Achieved">
      <formula>NOT(ISERROR(SEARCH("Minimum Achieved",G43)))</formula>
    </cfRule>
    <cfRule type="notContainsBlanks" dxfId="29" priority="53">
      <formula>LEN(TRIM(G43))&gt;0</formula>
    </cfRule>
  </conditionalFormatting>
  <conditionalFormatting sqref="G44:G45">
    <cfRule type="containsText" dxfId="28" priority="134" stopIfTrue="1" operator="containsText" text="IH Ethics Points - Minimum Not Achieved">
      <formula>NOT(ISERROR(SEARCH("IH Ethics Points - Minimum Not Achieved",G44)))</formula>
    </cfRule>
    <cfRule type="containsText" dxfId="27" priority="135" stopIfTrue="1" operator="containsText" text="IH Ethics Points - Maximum Reached">
      <formula>NOT(ISERROR(SEARCH("IH Ethics Points - Maximum Reached",G44)))</formula>
    </cfRule>
  </conditionalFormatting>
  <conditionalFormatting sqref="G48:G102 G105:G112">
    <cfRule type="containsText" dxfId="26" priority="86" operator="containsText" text="contact hours">
      <formula>NOT(ISERROR(SEARCH("contact hours",G48)))</formula>
    </cfRule>
    <cfRule type="containsText" dxfId="25" priority="84" operator="containsText" text="minimum">
      <formula>NOT(ISERROR(SEARCH("minimum",G48)))</formula>
    </cfRule>
    <cfRule type="containsText" dxfId="24" priority="83" operator="containsText" text="36 hrs">
      <formula>NOT(ISERROR(SEARCH("36 hrs",G48)))</formula>
    </cfRule>
    <cfRule type="containsText" dxfId="23" priority="94" operator="containsText" text="CM Cycle">
      <formula>NOT(ISERROR(SEARCH("CM Cycle",G48)))</formula>
    </cfRule>
  </conditionalFormatting>
  <conditionalFormatting sqref="G48:G102">
    <cfRule type="containsText" dxfId="22" priority="71" operator="containsText" text="CPR">
      <formula>NOT(ISERROR(SEARCH("CPR",G48)))</formula>
    </cfRule>
  </conditionalFormatting>
  <conditionalFormatting sqref="G105:G112">
    <cfRule type="containsText" dxfId="21" priority="74" operator="containsText" text="Please">
      <formula>NOT(ISERROR(SEARCH("Please",G105)))</formula>
    </cfRule>
    <cfRule type="containsText" dxfId="20" priority="85" operator="containsText" text="inconsistent">
      <formula>NOT(ISERROR(SEARCH("inconsistent",G105)))</formula>
    </cfRule>
    <cfRule type="containsText" dxfId="19" priority="82" operator="containsText" text="no breaks">
      <formula>NOT(ISERROR(SEARCH("no breaks",G105)))</formula>
    </cfRule>
    <cfRule type="containsText" dxfId="18" priority="70" operator="containsText" text="CPR">
      <formula>NOT(ISERROR(SEARCH("CPR",G105)))</formula>
    </cfRule>
    <cfRule type="containsText" dxfId="17" priority="93" operator="containsText" text="a minimum">
      <formula>NOT(ISERROR(SEARCH("a minimum",G105)))</formula>
    </cfRule>
  </conditionalFormatting>
  <conditionalFormatting sqref="G113">
    <cfRule type="notContainsBlanks" dxfId="16" priority="50">
      <formula>LEN(TRIM(G113))&gt;0</formula>
    </cfRule>
  </conditionalFormatting>
  <conditionalFormatting sqref="G116:G125">
    <cfRule type="containsText" dxfId="15" priority="44" operator="containsText" text="conducted">
      <formula>NOT(ISERROR(SEARCH("conducted",G116)))</formula>
    </cfRule>
    <cfRule type="containsText" dxfId="14" priority="43" operator="containsText" text="must be">
      <formula>NOT(ISERROR(SEARCH("must be",G116)))</formula>
    </cfRule>
    <cfRule type="containsText" dxfId="13" priority="42" operator="containsText" text="consistent">
      <formula>NOT(ISERROR(SEARCH("consistent",G116)))</formula>
    </cfRule>
  </conditionalFormatting>
  <conditionalFormatting sqref="G116:G131">
    <cfRule type="notContainsBlanks" dxfId="12" priority="41">
      <formula>LEN(TRIM(G116))&gt;0</formula>
    </cfRule>
  </conditionalFormatting>
  <conditionalFormatting sqref="G126:G131">
    <cfRule type="containsText" dxfId="11" priority="87" operator="containsText" text="Mentoring">
      <formula>NOT(ISERROR(SEARCH("Mentoring",G126)))</formula>
    </cfRule>
  </conditionalFormatting>
  <conditionalFormatting sqref="G133:G147">
    <cfRule type="containsText" dxfId="10" priority="6" operator="containsText" text="Eligible only">
      <formula>NOT(ISERROR(SEARCH("Eligible only",G133)))</formula>
    </cfRule>
    <cfRule type="containsText" dxfId="9" priority="7" operator="containsText" text="Maximum">
      <formula>NOT(ISERROR(SEARCH("Maximum",G133)))</formula>
    </cfRule>
    <cfRule type="containsText" dxfId="8" priority="9" operator="containsText" text="consistent">
      <formula>NOT(ISERROR(SEARCH("consistent",G133)))</formula>
    </cfRule>
    <cfRule type="containsText" dxfId="7" priority="8" operator="containsText" text="completed">
      <formula>NOT(ISERROR(SEARCH("completed",G133)))</formula>
    </cfRule>
    <cfRule type="notContainsBlanks" dxfId="6" priority="3">
      <formula>LEN(TRIM(G133))&gt;0</formula>
    </cfRule>
    <cfRule type="containsText" dxfId="5" priority="4" operator="containsText" text="Mentoring">
      <formula>NOT(ISERROR(SEARCH("Mentoring",G133)))</formula>
    </cfRule>
    <cfRule type="containsText" dxfId="4" priority="5" operator="containsText" text="initially ">
      <formula>NOT(ISERROR(SEARCH("initially ",G133)))</formula>
    </cfRule>
  </conditionalFormatting>
  <conditionalFormatting sqref="G152">
    <cfRule type="expression" dxfId="3" priority="45">
      <formula>$B$152=""</formula>
    </cfRule>
  </conditionalFormatting>
  <conditionalFormatting sqref="O9:P11">
    <cfRule type="containsText" priority="123" stopIfTrue="1" operator="containsText" text="TRUE">
      <formula>NOT(ISERROR(SEARCH("TRUE",O9)))</formula>
    </cfRule>
  </conditionalFormatting>
  <conditionalFormatting sqref="O14:P15">
    <cfRule type="containsText" priority="121" stopIfTrue="1" operator="containsText" text="TRUE">
      <formula>NOT(ISERROR(SEARCH("TRUE",O14)))</formula>
    </cfRule>
  </conditionalFormatting>
  <conditionalFormatting sqref="O18:P19">
    <cfRule type="containsText" priority="120" stopIfTrue="1" operator="containsText" text="TRUE">
      <formula>NOT(ISERROR(SEARCH("TRUE",O18)))</formula>
    </cfRule>
  </conditionalFormatting>
  <conditionalFormatting sqref="Q8:R12 L8:N19 S9:U10 T11:U15 O13:R13 S13:S14 Q14:R19 S18:U19">
    <cfRule type="containsText" priority="159" stopIfTrue="1" operator="containsText" text="TRUE">
      <formula>NOT(ISERROR(SEARCH("TRUE",L8)))</formula>
    </cfRule>
  </conditionalFormatting>
  <conditionalFormatting sqref="R20:R22">
    <cfRule type="containsText" dxfId="2" priority="157" stopIfTrue="1" operator="containsText" text="TRUE">
      <formula>NOT(ISERROR(SEARCH("TRUE",R20)))</formula>
    </cfRule>
  </conditionalFormatting>
  <conditionalFormatting sqref="U20:U22 V22:X22">
    <cfRule type="containsText" dxfId="1" priority="155" stopIfTrue="1" operator="containsText" text="TRUE">
      <formula>NOT(ISERROR(SEARCH("TRUE",U20)))</formula>
    </cfRule>
  </conditionalFormatting>
  <dataValidations count="21">
    <dataValidation type="decimal" allowBlank="1" showInputMessage="1" showErrorMessage="1" error="Maximum of 5 CM points for Category 2" sqref="F23" xr:uid="{00000000-0002-0000-0100-000000000000}">
      <formula1>0.5</formula1>
      <formula2>10</formula2>
    </dataValidation>
    <dataValidation allowBlank="1" showInputMessage="1" showErrorMessage="1" error="Maximum of 15 CM points for Category 1" sqref="F14" xr:uid="{00000000-0002-0000-0100-000001000000}"/>
    <dataValidation type="list" allowBlank="1" showInputMessage="1" showErrorMessage="1" sqref="E5" xr:uid="{00000000-0002-0000-0100-000002000000}">
      <formula1>certtype</formula1>
    </dataValidation>
    <dataValidation type="list" allowBlank="1" showInputMessage="1" showErrorMessage="1" sqref="E8:F8" xr:uid="{00000000-0002-0000-0100-000003000000}">
      <formula1>end</formula1>
    </dataValidation>
    <dataValidation type="list" allowBlank="1" showInputMessage="1" showErrorMessage="1" sqref="E6:F6" xr:uid="{00000000-0002-0000-0100-000004000000}">
      <formula1>cycle</formula1>
    </dataValidation>
    <dataValidation type="list" allowBlank="1" showInputMessage="1" showErrorMessage="1" error="Use the pick list to select the CM Area" sqref="E105:E111" xr:uid="{00000000-0002-0000-0100-000005000000}">
      <formula1>pointcategory</formula1>
    </dataValidation>
    <dataValidation type="whole" operator="greaterThan" allowBlank="1" showInputMessage="1" showErrorMessage="1" sqref="E116:E124" xr:uid="{00000000-0002-0000-0100-000006000000}">
      <formula1>0</formula1>
    </dataValidation>
    <dataValidation type="list" allowBlank="1" showInputMessage="1" showErrorMessage="1" sqref="E7:F7" xr:uid="{00000000-0002-0000-0100-000007000000}">
      <formula1>cyclestart</formula1>
    </dataValidation>
    <dataValidation type="list" allowBlank="1" showInputMessage="1" showErrorMessage="1" sqref="E10:F10" xr:uid="{00000000-0002-0000-0100-000008000000}">
      <formula1>yn</formula1>
    </dataValidation>
    <dataValidation type="list" allowBlank="1" showInputMessage="1" showErrorMessage="1" error="Use the pick list to select your role" sqref="D27:D31" xr:uid="{00000000-0002-0000-0100-000009000000}">
      <formula1>CommRole</formula1>
    </dataValidation>
    <dataValidation type="custom" allowBlank="1" showInputMessage="1" showErrorMessage="1" error="You've exceeded the maximum number of months allowed for your CM cycle. " sqref="E26:E31" xr:uid="{00000000-0002-0000-0100-00000A000000}">
      <formula1>IF(E26&lt;=Max_Months,TRUE,FALSE)</formula1>
    </dataValidation>
    <dataValidation type="list" allowBlank="1" showInputMessage="1" showErrorMessage="1" error="Use the pick list to select Yes or No. If you're not sure, contact your pubisher." sqref="E36:E40" xr:uid="{00000000-0002-0000-0100-00000B000000}">
      <formula1>yn</formula1>
    </dataValidation>
    <dataValidation type="decimal" operator="greaterThan" allowBlank="1" showInputMessage="1" showErrorMessage="1" sqref="D48:D102 F105:F111 D133:D139" xr:uid="{00000000-0002-0000-0100-00000C000000}">
      <formula1>0</formula1>
    </dataValidation>
    <dataValidation type="whole" allowBlank="1" showInputMessage="1" showErrorMessage="1" sqref="D17:D21" xr:uid="{00000000-0002-0000-0100-00000D000000}">
      <formula1>0</formula1>
      <formula2>100</formula2>
    </dataValidation>
    <dataValidation type="list" allowBlank="1" showInputMessage="1" showErrorMessage="1" error="Use the pick list to select your role. " sqref="D116:D124" xr:uid="{00000000-0002-0000-0100-00000E000000}">
      <formula1>teach</formula1>
    </dataValidation>
    <dataValidation type="list" allowBlank="1" showInputMessage="1" showErrorMessage="1" error="Make a choice from the pick lit for this cell entry. " sqref="E9:F9" xr:uid="{00000000-0002-0000-0100-00000F000000}">
      <formula1>speccond</formula1>
    </dataValidation>
    <dataValidation type="decimal" allowBlank="1" showInputMessage="1" showErrorMessage="1" sqref="F130" xr:uid="{00000000-0002-0000-0100-000010000000}">
      <formula1>0</formula1>
      <formula2>25</formula2>
    </dataValidation>
    <dataValidation type="decimal" allowBlank="1" showInputMessage="1" showErrorMessage="1" sqref="F128" xr:uid="{00000000-0002-0000-0100-000011000000}">
      <formula1>0</formula1>
      <formula2>10</formula2>
    </dataValidation>
    <dataValidation type="decimal" allowBlank="1" showInputMessage="1" showErrorMessage="1" sqref="F129 F143:F147" xr:uid="{00000000-0002-0000-0100-000012000000}">
      <formula1>0</formula1>
      <formula2>5</formula2>
    </dataValidation>
    <dataValidation type="list" allowBlank="1" showInputMessage="1" showErrorMessage="1" sqref="H128" xr:uid="{00000000-0002-0000-0100-000013000000}">
      <formula1>$I$132:$J$132</formula1>
    </dataValidation>
    <dataValidation type="list" showInputMessage="1" showErrorMessage="1" error="Use the pick list to select your role" sqref="D26" xr:uid="{D64C6B66-0128-401A-A0EF-FA620F198CE0}">
      <formula1>CommRole</formula1>
    </dataValidation>
  </dataValidations>
  <hyperlinks>
    <hyperlink ref="C24" r:id="rId1" display="http://www.BGC.org/maintain-certification/committees" xr:uid="{00000000-0004-0000-0100-000000000000}"/>
    <hyperlink ref="C34" r:id="rId2" display="http://www.abih.org/maintain-certification/publications" xr:uid="{00000000-0004-0000-0100-000001000000}"/>
    <hyperlink ref="C15" r:id="rId3" display="http://www.abih.org/maintain-certification/active-practice" xr:uid="{00000000-0004-0000-0100-000002000000}"/>
    <hyperlink ref="C44" r:id="rId4" display="http://www.abih.org/maintain-certification/education" xr:uid="{00000000-0004-0000-0100-000003000000}"/>
    <hyperlink ref="G47" location="CMAreas!A3" display="CMAreas!A3" xr:uid="{00000000-0004-0000-0100-000004000000}"/>
    <hyperlink ref="F12" r:id="rId5" display="http://portal.abih.org/members/roster/login.cfm" xr:uid="{00000000-0004-0000-0100-000005000000}"/>
    <hyperlink ref="A4" location="Instructions!A1" display="Click here for instructions on how to use this CMW" xr:uid="{00000000-0004-0000-0100-000006000000}"/>
    <hyperlink ref="E15" location="'Cat 1 Pt Calc'!A1" display="For help with &quot;%&quot; IH practice, see Pt Calc" xr:uid="{00000000-0004-0000-0100-000007000000}"/>
    <hyperlink ref="F11" r:id="rId6" display="http://www.abih.org/maintain-certification/minimum-requirements" xr:uid="{00000000-0004-0000-0100-000008000000}"/>
    <hyperlink ref="C127" r:id="rId7" display="http://www.abih.org/content/7-other" xr:uid="{00000000-0004-0000-0100-000009000000}"/>
    <hyperlink ref="C114" r:id="rId8" display="http://www.abih.org/maintain-certification/teaching-presenting" xr:uid="{00000000-0004-0000-0100-00000A000000}"/>
  </hyperlinks>
  <pageMargins left="0.25" right="0.25" top="0.33" bottom="0.55000000000000004" header="0.18" footer="0.17"/>
  <pageSetup orientation="portrait" r:id="rId9"/>
  <headerFooter alignWithMargins="0">
    <oddFooter>&amp;L&amp;8April 11, 2016&amp;R&amp;8&amp;P</oddFooter>
  </headerFooter>
  <rowBreaks count="3" manualBreakCount="3">
    <brk id="22" max="16383" man="1"/>
    <brk id="102" max="16383" man="1"/>
    <brk id="125" max="16383" man="1"/>
  </rowBreaks>
  <legacyDrawing r:id="rId10"/>
  <extLst>
    <ext xmlns:x14="http://schemas.microsoft.com/office/spreadsheetml/2009/9/main" uri="{CCE6A557-97BC-4b89-ADB6-D9C93CAAB3DF}">
      <x14:dataValidations xmlns:xm="http://schemas.microsoft.com/office/excel/2006/main" count="4">
        <x14:dataValidation type="list" allowBlank="1" showInputMessage="1" showErrorMessage="1" error="Use the pick list. You are limited to ONLY these ABIH approved choices in Cat 7. " xr:uid="{00000000-0002-0000-0100-000014000000}">
          <x14:formula1>
            <xm:f>picklists!$H$45:$H$49</xm:f>
          </x14:formula1>
          <xm:sqref>C133:C139</xm:sqref>
        </x14:dataValidation>
        <x14:dataValidation type="list" allowBlank="1" showInputMessage="1" showErrorMessage="1" error="Use the pick list to select the CM Area" xr:uid="{00000000-0002-0000-0100-000015000000}">
          <x14:formula1>
            <xm:f>picklists!$B$27:$B$30</xm:f>
          </x14:formula1>
          <xm:sqref>E48:E102</xm:sqref>
        </x14:dataValidation>
        <x14:dataValidation type="list" allowBlank="1" showInputMessage="1" showErrorMessage="1" error="Use the pick list to select your role. " xr:uid="{00000000-0002-0000-0100-000016000000}">
          <x14:formula1>
            <xm:f>picklists!$D$34:$D$37</xm:f>
          </x14:formula1>
          <xm:sqref>D36:D40</xm:sqref>
        </x14:dataValidation>
        <x14:dataValidation type="list" allowBlank="1" showInputMessage="1" showErrorMessage="1" error="Use the pick list. You are limited to ONLY these ABIH approved choices in Cat 7. " xr:uid="{00000000-0002-0000-0100-000017000000}">
          <x14:formula1>
            <xm:f>picklists!$B$41</xm:f>
          </x14:formula1>
          <xm:sqref>C143:C147</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6"/>
  <sheetViews>
    <sheetView showGridLines="0" workbookViewId="0">
      <pane ySplit="2" topLeftCell="A3" activePane="bottomLeft" state="frozenSplit"/>
      <selection pane="bottomLeft" activeCell="E184" sqref="E184"/>
    </sheetView>
  </sheetViews>
  <sheetFormatPr defaultColWidth="8.85546875" defaultRowHeight="12.75" x14ac:dyDescent="0.2"/>
  <cols>
    <col min="1" max="1" width="4.42578125" customWidth="1"/>
    <col min="2" max="2" width="43.85546875" customWidth="1"/>
    <col min="3" max="3" width="20" style="23" customWidth="1"/>
    <col min="4" max="4" width="3.85546875" customWidth="1"/>
    <col min="6" max="6" width="3.42578125" customWidth="1"/>
  </cols>
  <sheetData>
    <row r="1" spans="1:6" s="1" customFormat="1" ht="29.25" customHeight="1" thickBot="1" x14ac:dyDescent="0.25">
      <c r="A1" s="72" t="s">
        <v>152</v>
      </c>
      <c r="B1" s="62"/>
      <c r="C1" s="73"/>
      <c r="D1" s="62"/>
      <c r="E1" s="62"/>
      <c r="F1" s="74"/>
    </row>
    <row r="2" spans="1:6" s="70" customFormat="1" ht="13.5" thickBot="1" x14ac:dyDescent="0.25">
      <c r="A2" s="75"/>
      <c r="B2" s="76" t="s">
        <v>64</v>
      </c>
      <c r="C2" s="76" t="s">
        <v>151</v>
      </c>
      <c r="D2" s="77"/>
      <c r="E2" s="71" t="s">
        <v>217</v>
      </c>
      <c r="F2" s="78"/>
    </row>
    <row r="3" spans="1:6" x14ac:dyDescent="0.2">
      <c r="A3" s="79"/>
      <c r="B3" s="80" t="s">
        <v>96</v>
      </c>
      <c r="C3" s="81" t="s">
        <v>0</v>
      </c>
      <c r="D3" s="29"/>
      <c r="E3" s="29"/>
      <c r="F3" s="30"/>
    </row>
    <row r="4" spans="1:6" x14ac:dyDescent="0.2">
      <c r="A4" s="79"/>
      <c r="B4" s="82" t="s">
        <v>142</v>
      </c>
      <c r="C4" s="81" t="s">
        <v>141</v>
      </c>
      <c r="D4" s="29"/>
      <c r="E4" s="29"/>
      <c r="F4" s="30"/>
    </row>
    <row r="5" spans="1:6" x14ac:dyDescent="0.2">
      <c r="A5" s="79"/>
      <c r="B5" s="82" t="s">
        <v>75</v>
      </c>
      <c r="C5" s="81" t="s">
        <v>0</v>
      </c>
      <c r="D5" s="29"/>
      <c r="E5" s="29"/>
      <c r="F5" s="30"/>
    </row>
    <row r="6" spans="1:6" x14ac:dyDescent="0.2">
      <c r="A6" s="79"/>
      <c r="B6" s="82" t="s">
        <v>69</v>
      </c>
      <c r="C6" s="81" t="s">
        <v>0</v>
      </c>
      <c r="D6" s="29"/>
      <c r="E6" s="29"/>
      <c r="F6" s="30"/>
    </row>
    <row r="7" spans="1:6" x14ac:dyDescent="0.2">
      <c r="A7" s="79"/>
      <c r="B7" s="80" t="s">
        <v>78</v>
      </c>
      <c r="C7" s="81" t="s">
        <v>0</v>
      </c>
      <c r="D7" s="29"/>
      <c r="E7" s="29"/>
      <c r="F7" s="30"/>
    </row>
    <row r="8" spans="1:6" x14ac:dyDescent="0.2">
      <c r="A8" s="79"/>
      <c r="B8" s="80" t="s">
        <v>79</v>
      </c>
      <c r="C8" s="81" t="s">
        <v>0</v>
      </c>
      <c r="D8" s="29"/>
      <c r="E8" s="29"/>
      <c r="F8" s="30"/>
    </row>
    <row r="9" spans="1:6" x14ac:dyDescent="0.2">
      <c r="A9" s="79"/>
      <c r="B9" s="82" t="s">
        <v>153</v>
      </c>
      <c r="C9" s="81" t="s">
        <v>0</v>
      </c>
      <c r="D9" s="29"/>
      <c r="E9" s="29"/>
      <c r="F9" s="30"/>
    </row>
    <row r="10" spans="1:6" x14ac:dyDescent="0.2">
      <c r="A10" s="79"/>
      <c r="B10" s="80" t="s">
        <v>124</v>
      </c>
      <c r="C10" s="81" t="s">
        <v>1</v>
      </c>
      <c r="D10" s="29"/>
      <c r="E10" s="29"/>
      <c r="F10" s="30"/>
    </row>
    <row r="11" spans="1:6" x14ac:dyDescent="0.2">
      <c r="A11" s="79"/>
      <c r="B11" s="82" t="s">
        <v>196</v>
      </c>
      <c r="C11" s="81" t="s">
        <v>0</v>
      </c>
      <c r="D11" s="29"/>
      <c r="E11" s="29"/>
      <c r="F11" s="30"/>
    </row>
    <row r="12" spans="1:6" x14ac:dyDescent="0.2">
      <c r="A12" s="79"/>
      <c r="B12" s="80" t="s">
        <v>80</v>
      </c>
      <c r="C12" s="81" t="s">
        <v>0</v>
      </c>
      <c r="D12" s="29"/>
      <c r="E12" s="29"/>
      <c r="F12" s="30"/>
    </row>
    <row r="13" spans="1:6" x14ac:dyDescent="0.2">
      <c r="A13" s="79"/>
      <c r="B13" s="80" t="s">
        <v>97</v>
      </c>
      <c r="C13" s="81" t="s">
        <v>0</v>
      </c>
      <c r="D13" s="29"/>
      <c r="E13" s="29"/>
      <c r="F13" s="30"/>
    </row>
    <row r="14" spans="1:6" x14ac:dyDescent="0.2">
      <c r="A14" s="79"/>
      <c r="B14" s="80" t="s">
        <v>81</v>
      </c>
      <c r="C14" s="81" t="s">
        <v>0</v>
      </c>
      <c r="D14" s="29"/>
      <c r="E14" s="29"/>
      <c r="F14" s="30"/>
    </row>
    <row r="15" spans="1:6" x14ac:dyDescent="0.2">
      <c r="A15" s="79"/>
      <c r="B15" s="80" t="s">
        <v>82</v>
      </c>
      <c r="C15" s="81" t="s">
        <v>0</v>
      </c>
      <c r="D15" s="29"/>
      <c r="E15" s="29"/>
      <c r="F15" s="30"/>
    </row>
    <row r="16" spans="1:6" x14ac:dyDescent="0.2">
      <c r="A16" s="79"/>
      <c r="B16" s="82" t="s">
        <v>188</v>
      </c>
      <c r="C16" s="81" t="s">
        <v>2</v>
      </c>
      <c r="D16" s="29"/>
      <c r="E16" s="29"/>
      <c r="F16" s="30"/>
    </row>
    <row r="17" spans="1:6" x14ac:dyDescent="0.2">
      <c r="A17" s="79"/>
      <c r="B17" s="82" t="s">
        <v>154</v>
      </c>
      <c r="C17" s="81" t="s">
        <v>0</v>
      </c>
      <c r="D17" s="29"/>
      <c r="E17" s="29"/>
      <c r="F17" s="30"/>
    </row>
    <row r="18" spans="1:6" x14ac:dyDescent="0.2">
      <c r="A18" s="79"/>
      <c r="B18" s="82" t="s">
        <v>155</v>
      </c>
      <c r="C18" s="81" t="s">
        <v>0</v>
      </c>
      <c r="D18" s="29"/>
      <c r="E18" s="29"/>
      <c r="F18" s="30"/>
    </row>
    <row r="19" spans="1:6" x14ac:dyDescent="0.2">
      <c r="A19" s="79"/>
      <c r="B19" s="80" t="s">
        <v>98</v>
      </c>
      <c r="C19" s="81" t="s">
        <v>0</v>
      </c>
      <c r="D19" s="29"/>
      <c r="E19" s="29"/>
      <c r="F19" s="30"/>
    </row>
    <row r="20" spans="1:6" x14ac:dyDescent="0.2">
      <c r="A20" s="79"/>
      <c r="B20" s="82" t="s">
        <v>95</v>
      </c>
      <c r="C20" s="81" t="s">
        <v>0</v>
      </c>
      <c r="D20" s="29"/>
      <c r="E20" s="29"/>
      <c r="F20" s="30"/>
    </row>
    <row r="21" spans="1:6" x14ac:dyDescent="0.2">
      <c r="A21" s="79"/>
      <c r="B21" s="80" t="s">
        <v>125</v>
      </c>
      <c r="C21" s="81" t="s">
        <v>1</v>
      </c>
      <c r="D21" s="29"/>
      <c r="E21" s="29"/>
      <c r="F21" s="30"/>
    </row>
    <row r="22" spans="1:6" x14ac:dyDescent="0.2">
      <c r="A22" s="79"/>
      <c r="B22" s="82" t="s">
        <v>156</v>
      </c>
      <c r="C22" s="81" t="s">
        <v>0</v>
      </c>
      <c r="D22" s="29"/>
      <c r="E22" s="29"/>
      <c r="F22" s="30"/>
    </row>
    <row r="23" spans="1:6" x14ac:dyDescent="0.2">
      <c r="A23" s="79"/>
      <c r="B23" s="80" t="s">
        <v>83</v>
      </c>
      <c r="C23" s="81" t="s">
        <v>0</v>
      </c>
      <c r="D23" s="29"/>
      <c r="E23" s="29"/>
      <c r="F23" s="30"/>
    </row>
    <row r="24" spans="1:6" x14ac:dyDescent="0.2">
      <c r="A24" s="79"/>
      <c r="B24" s="80" t="s">
        <v>99</v>
      </c>
      <c r="C24" s="81" t="s">
        <v>0</v>
      </c>
      <c r="D24" s="29"/>
      <c r="E24" s="29"/>
      <c r="F24" s="30"/>
    </row>
    <row r="25" spans="1:6" x14ac:dyDescent="0.2">
      <c r="A25" s="79"/>
      <c r="B25" s="82" t="s">
        <v>189</v>
      </c>
      <c r="C25" s="81" t="s">
        <v>0</v>
      </c>
      <c r="D25" s="29"/>
      <c r="E25" s="29"/>
      <c r="F25" s="30"/>
    </row>
    <row r="26" spans="1:6" x14ac:dyDescent="0.2">
      <c r="A26" s="79"/>
      <c r="B26" s="82" t="s">
        <v>157</v>
      </c>
      <c r="C26" s="81" t="s">
        <v>0</v>
      </c>
      <c r="D26" s="29"/>
      <c r="E26" s="29"/>
      <c r="F26" s="30"/>
    </row>
    <row r="27" spans="1:6" x14ac:dyDescent="0.2">
      <c r="A27" s="79"/>
      <c r="B27" s="80" t="s">
        <v>144</v>
      </c>
      <c r="C27" s="81" t="s">
        <v>2</v>
      </c>
      <c r="D27" s="29"/>
      <c r="E27" s="29"/>
      <c r="F27" s="30"/>
    </row>
    <row r="28" spans="1:6" x14ac:dyDescent="0.2">
      <c r="A28" s="79"/>
      <c r="B28" s="82" t="s">
        <v>68</v>
      </c>
      <c r="C28" s="81" t="s">
        <v>0</v>
      </c>
      <c r="D28" s="29"/>
      <c r="E28" s="29"/>
      <c r="F28" s="30"/>
    </row>
    <row r="29" spans="1:6" x14ac:dyDescent="0.2">
      <c r="A29" s="79"/>
      <c r="B29" s="80" t="s">
        <v>143</v>
      </c>
      <c r="C29" s="81" t="s">
        <v>2</v>
      </c>
      <c r="D29" s="29"/>
      <c r="E29" s="29"/>
      <c r="F29" s="30"/>
    </row>
    <row r="30" spans="1:6" x14ac:dyDescent="0.2">
      <c r="A30" s="79"/>
      <c r="B30" s="82" t="s">
        <v>158</v>
      </c>
      <c r="C30" s="81" t="s">
        <v>0</v>
      </c>
      <c r="D30" s="29"/>
      <c r="E30" s="29"/>
      <c r="F30" s="30"/>
    </row>
    <row r="31" spans="1:6" x14ac:dyDescent="0.2">
      <c r="A31" s="79"/>
      <c r="B31" s="80" t="s">
        <v>126</v>
      </c>
      <c r="C31" s="81" t="s">
        <v>1</v>
      </c>
      <c r="D31" s="29"/>
      <c r="E31" s="29"/>
      <c r="F31" s="30"/>
    </row>
    <row r="32" spans="1:6" x14ac:dyDescent="0.2">
      <c r="A32" s="79"/>
      <c r="B32" s="82" t="s">
        <v>72</v>
      </c>
      <c r="C32" s="81" t="s">
        <v>0</v>
      </c>
      <c r="D32" s="29"/>
      <c r="E32" s="29"/>
      <c r="F32" s="30"/>
    </row>
    <row r="33" spans="1:6" x14ac:dyDescent="0.2">
      <c r="A33" s="79"/>
      <c r="B33" s="82" t="s">
        <v>159</v>
      </c>
      <c r="C33" s="81" t="s">
        <v>1</v>
      </c>
      <c r="D33" s="29"/>
      <c r="E33" s="29"/>
      <c r="F33" s="30"/>
    </row>
    <row r="34" spans="1:6" x14ac:dyDescent="0.2">
      <c r="A34" s="79"/>
      <c r="B34" s="82" t="s">
        <v>160</v>
      </c>
      <c r="C34" s="81" t="s">
        <v>141</v>
      </c>
      <c r="D34" s="29"/>
      <c r="E34" s="29"/>
      <c r="F34" s="30"/>
    </row>
    <row r="35" spans="1:6" x14ac:dyDescent="0.2">
      <c r="A35" s="79"/>
      <c r="B35" s="80" t="s">
        <v>100</v>
      </c>
      <c r="C35" s="81" t="s">
        <v>0</v>
      </c>
      <c r="D35" s="29"/>
      <c r="E35" s="29"/>
      <c r="F35" s="30"/>
    </row>
    <row r="36" spans="1:6" x14ac:dyDescent="0.2">
      <c r="A36" s="79"/>
      <c r="B36" s="80" t="s">
        <v>102</v>
      </c>
      <c r="C36" s="81" t="s">
        <v>0</v>
      </c>
      <c r="D36" s="29"/>
      <c r="E36" s="29"/>
      <c r="F36" s="30"/>
    </row>
    <row r="37" spans="1:6" x14ac:dyDescent="0.2">
      <c r="A37" s="79"/>
      <c r="B37" s="80" t="s">
        <v>101</v>
      </c>
      <c r="C37" s="81" t="s">
        <v>0</v>
      </c>
      <c r="D37" s="29"/>
      <c r="E37" s="29"/>
      <c r="F37" s="30"/>
    </row>
    <row r="38" spans="1:6" ht="12" customHeight="1" x14ac:dyDescent="0.2">
      <c r="A38" s="79"/>
      <c r="B38" s="82" t="s">
        <v>67</v>
      </c>
      <c r="C38" s="81" t="s">
        <v>1</v>
      </c>
      <c r="D38" s="29"/>
      <c r="E38" s="29"/>
      <c r="F38" s="30"/>
    </row>
    <row r="39" spans="1:6" x14ac:dyDescent="0.2">
      <c r="A39" s="79"/>
      <c r="B39" s="82" t="s">
        <v>73</v>
      </c>
      <c r="C39" s="81" t="s">
        <v>0</v>
      </c>
      <c r="D39" s="29"/>
      <c r="E39" s="29"/>
      <c r="F39" s="30"/>
    </row>
    <row r="40" spans="1:6" x14ac:dyDescent="0.2">
      <c r="A40" s="79"/>
      <c r="B40" s="82" t="s">
        <v>74</v>
      </c>
      <c r="C40" s="81" t="s">
        <v>0</v>
      </c>
      <c r="D40" s="29"/>
      <c r="E40" s="29"/>
      <c r="F40" s="30"/>
    </row>
    <row r="41" spans="1:6" x14ac:dyDescent="0.2">
      <c r="A41" s="79"/>
      <c r="B41" s="80" t="s">
        <v>103</v>
      </c>
      <c r="C41" s="81" t="s">
        <v>0</v>
      </c>
      <c r="D41" s="29"/>
      <c r="E41" s="29"/>
      <c r="F41" s="30"/>
    </row>
    <row r="42" spans="1:6" x14ac:dyDescent="0.2">
      <c r="A42" s="79"/>
      <c r="B42" s="82" t="s">
        <v>161</v>
      </c>
      <c r="C42" s="81" t="s">
        <v>0</v>
      </c>
      <c r="D42" s="29"/>
      <c r="E42" s="29"/>
      <c r="F42" s="30"/>
    </row>
    <row r="43" spans="1:6" x14ac:dyDescent="0.2">
      <c r="A43" s="79"/>
      <c r="B43" s="82" t="s">
        <v>162</v>
      </c>
      <c r="C43" s="81" t="s">
        <v>0</v>
      </c>
      <c r="D43" s="29"/>
      <c r="E43" s="29"/>
      <c r="F43" s="30"/>
    </row>
    <row r="44" spans="1:6" x14ac:dyDescent="0.2">
      <c r="A44" s="79"/>
      <c r="B44" s="80" t="s">
        <v>84</v>
      </c>
      <c r="C44" s="81" t="s">
        <v>0</v>
      </c>
      <c r="D44" s="29"/>
      <c r="E44" s="29"/>
      <c r="F44" s="30"/>
    </row>
    <row r="45" spans="1:6" x14ac:dyDescent="0.2">
      <c r="A45" s="79"/>
      <c r="B45" s="82" t="s">
        <v>192</v>
      </c>
      <c r="C45" s="81" t="s">
        <v>0</v>
      </c>
      <c r="D45" s="29"/>
      <c r="E45" s="29"/>
      <c r="F45" s="30"/>
    </row>
    <row r="46" spans="1:6" x14ac:dyDescent="0.2">
      <c r="A46" s="79"/>
      <c r="B46" s="82" t="s">
        <v>191</v>
      </c>
      <c r="C46" s="81" t="s">
        <v>0</v>
      </c>
      <c r="D46" s="29"/>
      <c r="E46" s="29"/>
      <c r="F46" s="30"/>
    </row>
    <row r="47" spans="1:6" x14ac:dyDescent="0.2">
      <c r="A47" s="79"/>
      <c r="B47" s="82" t="s">
        <v>190</v>
      </c>
      <c r="C47" s="81" t="s">
        <v>0</v>
      </c>
      <c r="D47" s="29"/>
      <c r="E47" s="29"/>
      <c r="F47" s="30"/>
    </row>
    <row r="48" spans="1:6" x14ac:dyDescent="0.2">
      <c r="A48" s="79"/>
      <c r="B48" s="80" t="s">
        <v>104</v>
      </c>
      <c r="C48" s="81" t="s">
        <v>0</v>
      </c>
      <c r="D48" s="29"/>
      <c r="E48" s="29"/>
      <c r="F48" s="30"/>
    </row>
    <row r="49" spans="1:6" ht="13.5" thickBot="1" x14ac:dyDescent="0.25">
      <c r="A49" s="79"/>
      <c r="B49" s="80" t="s">
        <v>105</v>
      </c>
      <c r="C49" s="81" t="s">
        <v>0</v>
      </c>
      <c r="D49" s="29"/>
      <c r="E49" s="29"/>
      <c r="F49" s="30"/>
    </row>
    <row r="50" spans="1:6" ht="13.5" thickBot="1" x14ac:dyDescent="0.25">
      <c r="A50" s="79"/>
      <c r="B50" s="82" t="s">
        <v>193</v>
      </c>
      <c r="C50" s="81" t="s">
        <v>0</v>
      </c>
      <c r="D50" s="29"/>
      <c r="E50" s="71" t="s">
        <v>217</v>
      </c>
      <c r="F50" s="30"/>
    </row>
    <row r="51" spans="1:6" x14ac:dyDescent="0.2">
      <c r="A51" s="79"/>
      <c r="B51" s="82" t="s">
        <v>194</v>
      </c>
      <c r="C51" s="81" t="s">
        <v>0</v>
      </c>
      <c r="D51" s="29"/>
      <c r="E51" s="29"/>
      <c r="F51" s="30"/>
    </row>
    <row r="52" spans="1:6" x14ac:dyDescent="0.2">
      <c r="A52" s="79"/>
      <c r="B52" s="80" t="s">
        <v>85</v>
      </c>
      <c r="C52" s="81" t="s">
        <v>0</v>
      </c>
      <c r="D52" s="29"/>
      <c r="E52" s="29"/>
      <c r="F52" s="30"/>
    </row>
    <row r="53" spans="1:6" x14ac:dyDescent="0.2">
      <c r="A53" s="79"/>
      <c r="B53" s="80" t="s">
        <v>146</v>
      </c>
      <c r="C53" s="81" t="s">
        <v>141</v>
      </c>
      <c r="D53" s="29"/>
      <c r="E53" s="29"/>
      <c r="F53" s="30"/>
    </row>
    <row r="54" spans="1:6" x14ac:dyDescent="0.2">
      <c r="A54" s="79"/>
      <c r="B54" s="80" t="s">
        <v>127</v>
      </c>
      <c r="C54" s="81" t="s">
        <v>1</v>
      </c>
      <c r="D54" s="29"/>
      <c r="E54" s="29"/>
      <c r="F54" s="30"/>
    </row>
    <row r="55" spans="1:6" x14ac:dyDescent="0.2">
      <c r="A55" s="79"/>
      <c r="B55" s="82" t="s">
        <v>163</v>
      </c>
      <c r="C55" s="81" t="s">
        <v>0</v>
      </c>
      <c r="D55" s="29"/>
      <c r="E55" s="29"/>
      <c r="F55" s="30"/>
    </row>
    <row r="56" spans="1:6" x14ac:dyDescent="0.2">
      <c r="A56" s="79"/>
      <c r="B56" s="82" t="s">
        <v>221</v>
      </c>
      <c r="C56" s="81" t="s">
        <v>1</v>
      </c>
      <c r="D56" s="29"/>
      <c r="E56" s="29"/>
      <c r="F56" s="30"/>
    </row>
    <row r="57" spans="1:6" x14ac:dyDescent="0.2">
      <c r="A57" s="79"/>
      <c r="B57" s="82" t="s">
        <v>164</v>
      </c>
      <c r="C57" s="81" t="s">
        <v>0</v>
      </c>
      <c r="D57" s="29"/>
      <c r="E57" s="29"/>
      <c r="F57" s="30"/>
    </row>
    <row r="58" spans="1:6" x14ac:dyDescent="0.2">
      <c r="A58" s="79"/>
      <c r="B58" s="82" t="s">
        <v>66</v>
      </c>
      <c r="C58" s="81" t="s">
        <v>1</v>
      </c>
      <c r="D58" s="29"/>
      <c r="E58" s="29"/>
      <c r="F58" s="30"/>
    </row>
    <row r="59" spans="1:6" x14ac:dyDescent="0.2">
      <c r="A59" s="79"/>
      <c r="B59" s="82" t="s">
        <v>165</v>
      </c>
      <c r="C59" s="81" t="s">
        <v>0</v>
      </c>
      <c r="D59" s="29"/>
      <c r="E59" s="29"/>
      <c r="F59" s="30"/>
    </row>
    <row r="60" spans="1:6" ht="12" customHeight="1" x14ac:dyDescent="0.2">
      <c r="A60" s="79"/>
      <c r="B60" s="80" t="s">
        <v>147</v>
      </c>
      <c r="C60" s="81" t="s">
        <v>141</v>
      </c>
      <c r="D60" s="29"/>
      <c r="E60" s="29"/>
      <c r="F60" s="30"/>
    </row>
    <row r="61" spans="1:6" ht="12" customHeight="1" x14ac:dyDescent="0.2">
      <c r="A61" s="79"/>
      <c r="B61" s="82" t="s">
        <v>216</v>
      </c>
      <c r="C61" s="81" t="s">
        <v>141</v>
      </c>
      <c r="D61" s="29"/>
      <c r="E61" s="29"/>
      <c r="F61" s="30"/>
    </row>
    <row r="62" spans="1:6" x14ac:dyDescent="0.2">
      <c r="A62" s="79"/>
      <c r="B62" s="80" t="s">
        <v>128</v>
      </c>
      <c r="C62" s="81" t="s">
        <v>1</v>
      </c>
      <c r="D62" s="29"/>
      <c r="E62" s="29"/>
      <c r="F62" s="30"/>
    </row>
    <row r="63" spans="1:6" x14ac:dyDescent="0.2">
      <c r="A63" s="79"/>
      <c r="B63" s="82" t="s">
        <v>166</v>
      </c>
      <c r="C63" s="81" t="s">
        <v>1</v>
      </c>
      <c r="D63" s="29"/>
      <c r="E63" s="29"/>
      <c r="F63" s="30"/>
    </row>
    <row r="64" spans="1:6" x14ac:dyDescent="0.2">
      <c r="A64" s="79"/>
      <c r="B64" s="82" t="s">
        <v>140</v>
      </c>
      <c r="C64" s="81" t="s">
        <v>141</v>
      </c>
      <c r="D64" s="29"/>
      <c r="E64" s="29"/>
      <c r="F64" s="30"/>
    </row>
    <row r="65" spans="1:6" x14ac:dyDescent="0.2">
      <c r="A65" s="79"/>
      <c r="B65" s="80" t="s">
        <v>106</v>
      </c>
      <c r="C65" s="81" t="s">
        <v>0</v>
      </c>
      <c r="D65" s="29"/>
      <c r="E65" s="29"/>
      <c r="F65" s="30"/>
    </row>
    <row r="66" spans="1:6" x14ac:dyDescent="0.2">
      <c r="A66" s="79"/>
      <c r="B66" s="80" t="s">
        <v>129</v>
      </c>
      <c r="C66" s="81" t="s">
        <v>1</v>
      </c>
      <c r="D66" s="29"/>
      <c r="E66" s="29"/>
      <c r="F66" s="30"/>
    </row>
    <row r="67" spans="1:6" x14ac:dyDescent="0.2">
      <c r="A67" s="79"/>
      <c r="B67" s="82" t="s">
        <v>195</v>
      </c>
      <c r="C67" s="81" t="s">
        <v>0</v>
      </c>
      <c r="D67" s="29"/>
      <c r="E67" s="29"/>
      <c r="F67" s="30"/>
    </row>
    <row r="68" spans="1:6" x14ac:dyDescent="0.2">
      <c r="A68" s="79"/>
      <c r="B68" s="80" t="s">
        <v>110</v>
      </c>
      <c r="C68" s="81" t="s">
        <v>0</v>
      </c>
      <c r="D68" s="29"/>
      <c r="E68" s="29"/>
      <c r="F68" s="30"/>
    </row>
    <row r="69" spans="1:6" x14ac:dyDescent="0.2">
      <c r="A69" s="79"/>
      <c r="B69" s="80" t="s">
        <v>107</v>
      </c>
      <c r="C69" s="81" t="s">
        <v>0</v>
      </c>
      <c r="D69" s="29"/>
      <c r="E69" s="29"/>
      <c r="F69" s="30"/>
    </row>
    <row r="70" spans="1:6" x14ac:dyDescent="0.2">
      <c r="A70" s="79"/>
      <c r="B70" s="80" t="s">
        <v>108</v>
      </c>
      <c r="C70" s="81" t="s">
        <v>0</v>
      </c>
      <c r="D70" s="29"/>
      <c r="E70" s="29"/>
      <c r="F70" s="30"/>
    </row>
    <row r="71" spans="1:6" x14ac:dyDescent="0.2">
      <c r="A71" s="79"/>
      <c r="B71" s="80" t="s">
        <v>109</v>
      </c>
      <c r="C71" s="81" t="s">
        <v>0</v>
      </c>
      <c r="D71" s="29"/>
      <c r="E71" s="29"/>
      <c r="F71" s="30"/>
    </row>
    <row r="72" spans="1:6" x14ac:dyDescent="0.2">
      <c r="A72" s="79"/>
      <c r="B72" s="80" t="s">
        <v>111</v>
      </c>
      <c r="C72" s="81" t="s">
        <v>0</v>
      </c>
      <c r="D72" s="29"/>
      <c r="E72" s="29"/>
      <c r="F72" s="30"/>
    </row>
    <row r="73" spans="1:6" x14ac:dyDescent="0.2">
      <c r="A73" s="79"/>
      <c r="B73" s="82" t="s">
        <v>65</v>
      </c>
      <c r="C73" s="81" t="s">
        <v>0</v>
      </c>
      <c r="D73" s="29"/>
      <c r="E73" s="29"/>
      <c r="F73" s="30"/>
    </row>
    <row r="74" spans="1:6" x14ac:dyDescent="0.2">
      <c r="A74" s="79"/>
      <c r="B74" s="80" t="s">
        <v>86</v>
      </c>
      <c r="C74" s="81" t="s">
        <v>0</v>
      </c>
      <c r="D74" s="29"/>
      <c r="E74" s="29"/>
      <c r="F74" s="30"/>
    </row>
    <row r="75" spans="1:6" x14ac:dyDescent="0.2">
      <c r="A75" s="79"/>
      <c r="B75" s="82" t="s">
        <v>94</v>
      </c>
      <c r="C75" s="81" t="s">
        <v>0</v>
      </c>
      <c r="D75" s="29"/>
      <c r="E75" s="29"/>
      <c r="F75" s="30"/>
    </row>
    <row r="76" spans="1:6" x14ac:dyDescent="0.2">
      <c r="A76" s="79"/>
      <c r="B76" s="80" t="s">
        <v>148</v>
      </c>
      <c r="C76" s="81" t="s">
        <v>141</v>
      </c>
      <c r="D76" s="29"/>
      <c r="E76" s="29"/>
      <c r="F76" s="30"/>
    </row>
    <row r="77" spans="1:6" x14ac:dyDescent="0.2">
      <c r="A77" s="79"/>
      <c r="B77" s="80" t="s">
        <v>130</v>
      </c>
      <c r="C77" s="81" t="s">
        <v>1</v>
      </c>
      <c r="D77" s="29"/>
      <c r="E77" s="29"/>
      <c r="F77" s="30"/>
    </row>
    <row r="78" spans="1:6" x14ac:dyDescent="0.2">
      <c r="A78" s="79"/>
      <c r="B78" s="82" t="s">
        <v>167</v>
      </c>
      <c r="C78" s="81" t="s">
        <v>0</v>
      </c>
      <c r="D78" s="29"/>
      <c r="E78" s="29"/>
      <c r="F78" s="30"/>
    </row>
    <row r="79" spans="1:6" x14ac:dyDescent="0.2">
      <c r="A79" s="79"/>
      <c r="B79" s="80" t="s">
        <v>149</v>
      </c>
      <c r="C79" s="81" t="s">
        <v>141</v>
      </c>
      <c r="D79" s="29"/>
      <c r="E79" s="29"/>
      <c r="F79" s="30"/>
    </row>
    <row r="80" spans="1:6" x14ac:dyDescent="0.2">
      <c r="A80" s="79"/>
      <c r="B80" s="80" t="s">
        <v>112</v>
      </c>
      <c r="C80" s="81" t="s">
        <v>0</v>
      </c>
      <c r="D80" s="29"/>
      <c r="E80" s="29"/>
      <c r="F80" s="30"/>
    </row>
    <row r="81" spans="1:6" x14ac:dyDescent="0.2">
      <c r="A81" s="79"/>
      <c r="B81" s="82" t="s">
        <v>185</v>
      </c>
      <c r="C81" s="81" t="s">
        <v>0</v>
      </c>
      <c r="D81" s="29"/>
      <c r="E81" s="29"/>
      <c r="F81" s="30"/>
    </row>
    <row r="82" spans="1:6" x14ac:dyDescent="0.2">
      <c r="A82" s="79"/>
      <c r="B82" s="80" t="s">
        <v>113</v>
      </c>
      <c r="C82" s="81" t="s">
        <v>0</v>
      </c>
      <c r="D82" s="29"/>
      <c r="E82" s="29"/>
      <c r="F82" s="30"/>
    </row>
    <row r="83" spans="1:6" x14ac:dyDescent="0.2">
      <c r="A83" s="79"/>
      <c r="B83" s="82" t="s">
        <v>186</v>
      </c>
      <c r="C83" s="81" t="s">
        <v>0</v>
      </c>
      <c r="D83" s="29"/>
      <c r="E83" s="29"/>
      <c r="F83" s="30"/>
    </row>
    <row r="84" spans="1:6" x14ac:dyDescent="0.2">
      <c r="A84" s="79"/>
      <c r="B84" s="80" t="s">
        <v>145</v>
      </c>
      <c r="C84" s="81" t="s">
        <v>2</v>
      </c>
      <c r="D84" s="29"/>
      <c r="E84" s="29"/>
      <c r="F84" s="30"/>
    </row>
    <row r="85" spans="1:6" x14ac:dyDescent="0.2">
      <c r="A85" s="79"/>
      <c r="B85" s="82" t="s">
        <v>197</v>
      </c>
      <c r="C85" s="81" t="s">
        <v>0</v>
      </c>
      <c r="D85" s="29"/>
      <c r="E85" s="29"/>
      <c r="F85" s="30"/>
    </row>
    <row r="86" spans="1:6" x14ac:dyDescent="0.2">
      <c r="A86" s="79"/>
      <c r="B86" s="82" t="s">
        <v>168</v>
      </c>
      <c r="C86" s="81" t="s">
        <v>0</v>
      </c>
      <c r="D86" s="29"/>
      <c r="E86" s="29"/>
      <c r="F86" s="30"/>
    </row>
    <row r="87" spans="1:6" x14ac:dyDescent="0.2">
      <c r="A87" s="79"/>
      <c r="B87" s="80" t="s">
        <v>114</v>
      </c>
      <c r="C87" s="81" t="s">
        <v>0</v>
      </c>
      <c r="D87" s="29"/>
      <c r="E87" s="29"/>
      <c r="F87" s="30"/>
    </row>
    <row r="88" spans="1:6" x14ac:dyDescent="0.2">
      <c r="A88" s="79"/>
      <c r="B88" s="80" t="s">
        <v>131</v>
      </c>
      <c r="C88" s="81" t="s">
        <v>1</v>
      </c>
      <c r="D88" s="29"/>
      <c r="E88" s="29"/>
      <c r="F88" s="30"/>
    </row>
    <row r="89" spans="1:6" x14ac:dyDescent="0.2">
      <c r="A89" s="79"/>
      <c r="B89" s="80" t="s">
        <v>132</v>
      </c>
      <c r="C89" s="81" t="s">
        <v>1</v>
      </c>
      <c r="D89" s="29"/>
      <c r="E89" s="29"/>
      <c r="F89" s="30"/>
    </row>
    <row r="90" spans="1:6" x14ac:dyDescent="0.2">
      <c r="A90" s="79"/>
      <c r="B90" s="80" t="s">
        <v>115</v>
      </c>
      <c r="C90" s="81" t="s">
        <v>0</v>
      </c>
      <c r="D90" s="29"/>
      <c r="E90" s="29"/>
      <c r="F90" s="30"/>
    </row>
    <row r="91" spans="1:6" x14ac:dyDescent="0.2">
      <c r="A91" s="79"/>
      <c r="B91" s="82" t="s">
        <v>91</v>
      </c>
      <c r="C91" s="81" t="s">
        <v>0</v>
      </c>
      <c r="D91" s="29"/>
      <c r="E91" s="29"/>
      <c r="F91" s="30"/>
    </row>
    <row r="92" spans="1:6" x14ac:dyDescent="0.2">
      <c r="A92" s="79"/>
      <c r="B92" s="82" t="s">
        <v>175</v>
      </c>
      <c r="C92" s="81" t="s">
        <v>0</v>
      </c>
      <c r="D92" s="29"/>
      <c r="E92" s="29"/>
      <c r="F92" s="30"/>
    </row>
    <row r="93" spans="1:6" x14ac:dyDescent="0.2">
      <c r="A93" s="79"/>
      <c r="B93" s="82" t="s">
        <v>169</v>
      </c>
      <c r="C93" s="81" t="s">
        <v>0</v>
      </c>
      <c r="D93" s="29"/>
      <c r="E93" s="29"/>
      <c r="F93" s="30"/>
    </row>
    <row r="94" spans="1:6" x14ac:dyDescent="0.2">
      <c r="A94" s="79"/>
      <c r="B94" s="82" t="s">
        <v>198</v>
      </c>
      <c r="C94" s="81" t="s">
        <v>0</v>
      </c>
      <c r="D94" s="29"/>
      <c r="E94" s="29"/>
      <c r="F94" s="30"/>
    </row>
    <row r="95" spans="1:6" x14ac:dyDescent="0.2">
      <c r="A95" s="79"/>
      <c r="B95" s="80" t="s">
        <v>87</v>
      </c>
      <c r="C95" s="81" t="s">
        <v>0</v>
      </c>
      <c r="D95" s="29"/>
      <c r="E95" s="29"/>
      <c r="F95" s="30"/>
    </row>
    <row r="96" spans="1:6" x14ac:dyDescent="0.2">
      <c r="A96" s="79"/>
      <c r="B96" s="80" t="s">
        <v>88</v>
      </c>
      <c r="C96" s="81" t="s">
        <v>0</v>
      </c>
      <c r="D96" s="29"/>
      <c r="E96" s="29"/>
      <c r="F96" s="30"/>
    </row>
    <row r="97" spans="1:6" x14ac:dyDescent="0.2">
      <c r="A97" s="79"/>
      <c r="B97" s="80" t="s">
        <v>116</v>
      </c>
      <c r="C97" s="81" t="s">
        <v>0</v>
      </c>
      <c r="D97" s="29"/>
      <c r="E97" s="29"/>
      <c r="F97" s="30"/>
    </row>
    <row r="98" spans="1:6" x14ac:dyDescent="0.2">
      <c r="A98" s="79"/>
      <c r="B98" s="82" t="s">
        <v>199</v>
      </c>
      <c r="C98" s="81" t="s">
        <v>0</v>
      </c>
      <c r="D98" s="29"/>
      <c r="E98" s="29"/>
      <c r="F98" s="30"/>
    </row>
    <row r="99" spans="1:6" x14ac:dyDescent="0.2">
      <c r="A99" s="79"/>
      <c r="B99" s="80" t="s">
        <v>133</v>
      </c>
      <c r="C99" s="81" t="s">
        <v>1</v>
      </c>
      <c r="D99" s="29"/>
      <c r="E99" s="29"/>
      <c r="F99" s="30"/>
    </row>
    <row r="100" spans="1:6" ht="13.5" thickBot="1" x14ac:dyDescent="0.25">
      <c r="A100" s="79"/>
      <c r="B100" s="80" t="s">
        <v>134</v>
      </c>
      <c r="C100" s="81" t="s">
        <v>1</v>
      </c>
      <c r="D100" s="29"/>
      <c r="E100" s="29"/>
      <c r="F100" s="30"/>
    </row>
    <row r="101" spans="1:6" ht="13.5" thickBot="1" x14ac:dyDescent="0.25">
      <c r="A101" s="79"/>
      <c r="B101" s="80" t="s">
        <v>117</v>
      </c>
      <c r="C101" s="81" t="s">
        <v>0</v>
      </c>
      <c r="D101" s="29"/>
      <c r="E101" s="71" t="s">
        <v>217</v>
      </c>
      <c r="F101" s="30"/>
    </row>
    <row r="102" spans="1:6" x14ac:dyDescent="0.2">
      <c r="A102" s="79"/>
      <c r="B102" s="82" t="s">
        <v>170</v>
      </c>
      <c r="C102" s="81" t="s">
        <v>0</v>
      </c>
      <c r="D102" s="29"/>
      <c r="E102" s="29"/>
      <c r="F102" s="30"/>
    </row>
    <row r="103" spans="1:6" x14ac:dyDescent="0.2">
      <c r="A103" s="79"/>
      <c r="B103" s="82" t="s">
        <v>77</v>
      </c>
      <c r="C103" s="81" t="s">
        <v>0</v>
      </c>
      <c r="D103" s="29"/>
      <c r="E103" s="29"/>
      <c r="F103" s="30"/>
    </row>
    <row r="104" spans="1:6" x14ac:dyDescent="0.2">
      <c r="A104" s="79"/>
      <c r="B104" s="82" t="s">
        <v>171</v>
      </c>
      <c r="C104" s="81" t="s">
        <v>0</v>
      </c>
      <c r="D104" s="29"/>
      <c r="E104" s="29"/>
      <c r="F104" s="30"/>
    </row>
    <row r="105" spans="1:6" x14ac:dyDescent="0.2">
      <c r="A105" s="79"/>
      <c r="B105" s="82" t="s">
        <v>200</v>
      </c>
      <c r="C105" s="81" t="s">
        <v>141</v>
      </c>
      <c r="D105" s="29"/>
      <c r="E105" s="29"/>
      <c r="F105" s="30"/>
    </row>
    <row r="106" spans="1:6" x14ac:dyDescent="0.2">
      <c r="A106" s="79"/>
      <c r="B106" s="82" t="s">
        <v>201</v>
      </c>
      <c r="C106" s="81" t="s">
        <v>141</v>
      </c>
      <c r="D106" s="29"/>
      <c r="E106" s="29"/>
      <c r="F106" s="30"/>
    </row>
    <row r="107" spans="1:6" x14ac:dyDescent="0.2">
      <c r="A107" s="79"/>
      <c r="B107" s="82" t="s">
        <v>202</v>
      </c>
      <c r="C107" s="81" t="s">
        <v>141</v>
      </c>
      <c r="D107" s="29"/>
      <c r="E107" s="29"/>
      <c r="F107" s="30"/>
    </row>
    <row r="108" spans="1:6" x14ac:dyDescent="0.2">
      <c r="A108" s="79"/>
      <c r="B108" s="80" t="s">
        <v>135</v>
      </c>
      <c r="C108" s="81" t="s">
        <v>1</v>
      </c>
      <c r="D108" s="29"/>
      <c r="E108" s="29"/>
      <c r="F108" s="30"/>
    </row>
    <row r="109" spans="1:6" x14ac:dyDescent="0.2">
      <c r="A109" s="79"/>
      <c r="B109" s="82" t="s">
        <v>203</v>
      </c>
      <c r="C109" s="81" t="s">
        <v>0</v>
      </c>
      <c r="D109" s="29"/>
      <c r="E109" s="29"/>
      <c r="F109" s="30"/>
    </row>
    <row r="110" spans="1:6" x14ac:dyDescent="0.2">
      <c r="A110" s="79"/>
      <c r="B110" s="82" t="s">
        <v>204</v>
      </c>
      <c r="C110" s="81" t="s">
        <v>2</v>
      </c>
      <c r="D110" s="29"/>
      <c r="E110" s="29"/>
      <c r="F110" s="30"/>
    </row>
    <row r="111" spans="1:6" x14ac:dyDescent="0.2">
      <c r="A111" s="79"/>
      <c r="B111" s="82" t="s">
        <v>172</v>
      </c>
      <c r="C111" s="81" t="s">
        <v>0</v>
      </c>
      <c r="D111" s="29"/>
      <c r="E111" s="29"/>
      <c r="F111" s="30"/>
    </row>
    <row r="112" spans="1:6" x14ac:dyDescent="0.2">
      <c r="A112" s="79"/>
      <c r="B112" s="80" t="s">
        <v>118</v>
      </c>
      <c r="C112" s="81" t="s">
        <v>0</v>
      </c>
      <c r="D112" s="29"/>
      <c r="E112" s="29"/>
      <c r="F112" s="30"/>
    </row>
    <row r="113" spans="1:6" x14ac:dyDescent="0.2">
      <c r="A113" s="79"/>
      <c r="B113" s="80" t="s">
        <v>119</v>
      </c>
      <c r="C113" s="81" t="s">
        <v>0</v>
      </c>
      <c r="D113" s="29"/>
      <c r="E113" s="29"/>
      <c r="F113" s="30"/>
    </row>
    <row r="114" spans="1:6" x14ac:dyDescent="0.2">
      <c r="A114" s="79"/>
      <c r="B114" s="82" t="s">
        <v>205</v>
      </c>
      <c r="C114" s="81" t="s">
        <v>2</v>
      </c>
      <c r="D114" s="29"/>
      <c r="E114" s="29"/>
      <c r="F114" s="30"/>
    </row>
    <row r="115" spans="1:6" x14ac:dyDescent="0.2">
      <c r="A115" s="79"/>
      <c r="B115" s="82" t="s">
        <v>173</v>
      </c>
      <c r="C115" s="81" t="s">
        <v>0</v>
      </c>
      <c r="D115" s="29"/>
      <c r="E115" s="29"/>
      <c r="F115" s="30"/>
    </row>
    <row r="116" spans="1:6" x14ac:dyDescent="0.2">
      <c r="A116" s="79"/>
      <c r="B116" s="82" t="s">
        <v>206</v>
      </c>
      <c r="C116" s="81" t="s">
        <v>0</v>
      </c>
      <c r="D116" s="29"/>
      <c r="E116" s="29"/>
      <c r="F116" s="30"/>
    </row>
    <row r="117" spans="1:6" x14ac:dyDescent="0.2">
      <c r="A117" s="79"/>
      <c r="B117" s="82" t="s">
        <v>174</v>
      </c>
      <c r="C117" s="81" t="s">
        <v>0</v>
      </c>
      <c r="D117" s="29"/>
      <c r="E117" s="29"/>
      <c r="F117" s="30"/>
    </row>
    <row r="118" spans="1:6" x14ac:dyDescent="0.2">
      <c r="A118" s="79"/>
      <c r="B118" s="82" t="s">
        <v>93</v>
      </c>
      <c r="C118" s="81" t="s">
        <v>0</v>
      </c>
      <c r="D118" s="29"/>
      <c r="E118" s="29"/>
      <c r="F118" s="30"/>
    </row>
    <row r="119" spans="1:6" x14ac:dyDescent="0.2">
      <c r="A119" s="79"/>
      <c r="B119" s="82" t="s">
        <v>92</v>
      </c>
      <c r="C119" s="81" t="s">
        <v>0</v>
      </c>
      <c r="D119" s="29"/>
      <c r="E119" s="29"/>
      <c r="F119" s="30"/>
    </row>
    <row r="120" spans="1:6" x14ac:dyDescent="0.2">
      <c r="A120" s="79"/>
      <c r="B120" s="82" t="s">
        <v>71</v>
      </c>
      <c r="C120" s="81" t="s">
        <v>0</v>
      </c>
      <c r="D120" s="29"/>
      <c r="E120" s="29"/>
      <c r="F120" s="30"/>
    </row>
    <row r="121" spans="1:6" x14ac:dyDescent="0.2">
      <c r="A121" s="79"/>
      <c r="B121" s="80" t="s">
        <v>120</v>
      </c>
      <c r="C121" s="81" t="s">
        <v>0</v>
      </c>
      <c r="D121" s="29"/>
      <c r="E121" s="29"/>
      <c r="F121" s="30"/>
    </row>
    <row r="122" spans="1:6" x14ac:dyDescent="0.2">
      <c r="A122" s="79"/>
      <c r="B122" s="82" t="s">
        <v>207</v>
      </c>
      <c r="C122" s="81" t="s">
        <v>0</v>
      </c>
      <c r="D122" s="29"/>
      <c r="E122" s="29"/>
      <c r="F122" s="30"/>
    </row>
    <row r="123" spans="1:6" x14ac:dyDescent="0.2">
      <c r="A123" s="79"/>
      <c r="B123" s="82" t="s">
        <v>208</v>
      </c>
      <c r="C123" s="81" t="s">
        <v>1</v>
      </c>
      <c r="D123" s="29"/>
      <c r="E123" s="29"/>
      <c r="F123" s="30"/>
    </row>
    <row r="124" spans="1:6" x14ac:dyDescent="0.2">
      <c r="A124" s="79"/>
      <c r="B124" s="82" t="s">
        <v>176</v>
      </c>
      <c r="C124" s="81" t="s">
        <v>0</v>
      </c>
      <c r="D124" s="29"/>
      <c r="E124" s="29"/>
      <c r="F124" s="30"/>
    </row>
    <row r="125" spans="1:6" x14ac:dyDescent="0.2">
      <c r="A125" s="79"/>
      <c r="B125" s="82" t="s">
        <v>177</v>
      </c>
      <c r="C125" s="81" t="s">
        <v>0</v>
      </c>
      <c r="D125" s="29"/>
      <c r="E125" s="29"/>
      <c r="F125" s="30"/>
    </row>
    <row r="126" spans="1:6" x14ac:dyDescent="0.2">
      <c r="A126" s="79"/>
      <c r="B126" s="82" t="s">
        <v>76</v>
      </c>
      <c r="C126" s="81" t="s">
        <v>0</v>
      </c>
      <c r="D126" s="29"/>
      <c r="E126" s="29"/>
      <c r="F126" s="30"/>
    </row>
    <row r="127" spans="1:6" x14ac:dyDescent="0.2">
      <c r="A127" s="79"/>
      <c r="B127" s="80" t="s">
        <v>136</v>
      </c>
      <c r="C127" s="81" t="s">
        <v>1</v>
      </c>
      <c r="D127" s="29"/>
      <c r="E127" s="29"/>
      <c r="F127" s="30"/>
    </row>
    <row r="128" spans="1:6" x14ac:dyDescent="0.2">
      <c r="A128" s="79"/>
      <c r="B128" s="80" t="s">
        <v>121</v>
      </c>
      <c r="C128" s="81" t="s">
        <v>0</v>
      </c>
      <c r="D128" s="29"/>
      <c r="E128" s="29"/>
      <c r="F128" s="30"/>
    </row>
    <row r="129" spans="1:6" x14ac:dyDescent="0.2">
      <c r="A129" s="79"/>
      <c r="B129" s="80" t="s">
        <v>122</v>
      </c>
      <c r="C129" s="81" t="s">
        <v>0</v>
      </c>
      <c r="D129" s="29"/>
      <c r="E129" s="29"/>
      <c r="F129" s="30"/>
    </row>
    <row r="130" spans="1:6" x14ac:dyDescent="0.2">
      <c r="A130" s="79"/>
      <c r="B130" s="80" t="s">
        <v>220</v>
      </c>
      <c r="C130" s="81" t="s">
        <v>1</v>
      </c>
      <c r="D130" s="29"/>
      <c r="E130" s="29"/>
      <c r="F130" s="30"/>
    </row>
    <row r="131" spans="1:6" x14ac:dyDescent="0.2">
      <c r="A131" s="79"/>
      <c r="B131" s="80" t="s">
        <v>137</v>
      </c>
      <c r="C131" s="81" t="s">
        <v>1</v>
      </c>
      <c r="D131" s="29"/>
      <c r="E131" s="29"/>
      <c r="F131" s="30"/>
    </row>
    <row r="132" spans="1:6" x14ac:dyDescent="0.2">
      <c r="A132" s="79"/>
      <c r="B132" s="82" t="s">
        <v>178</v>
      </c>
      <c r="C132" s="81" t="s">
        <v>0</v>
      </c>
      <c r="D132" s="29"/>
      <c r="E132" s="29"/>
      <c r="F132" s="30"/>
    </row>
    <row r="133" spans="1:6" x14ac:dyDescent="0.2">
      <c r="A133" s="79"/>
      <c r="B133" s="82" t="s">
        <v>90</v>
      </c>
      <c r="C133" s="81" t="s">
        <v>0</v>
      </c>
      <c r="D133" s="29"/>
      <c r="E133" s="29"/>
      <c r="F133" s="30"/>
    </row>
    <row r="134" spans="1:6" x14ac:dyDescent="0.2">
      <c r="A134" s="79"/>
      <c r="B134" s="82" t="s">
        <v>179</v>
      </c>
      <c r="C134" s="81" t="s">
        <v>141</v>
      </c>
      <c r="D134" s="29"/>
      <c r="E134" s="29"/>
      <c r="F134" s="30"/>
    </row>
    <row r="135" spans="1:6" x14ac:dyDescent="0.2">
      <c r="A135" s="79"/>
      <c r="B135" s="82" t="s">
        <v>180</v>
      </c>
      <c r="C135" s="81" t="s">
        <v>0</v>
      </c>
      <c r="D135" s="29"/>
      <c r="E135" s="29"/>
      <c r="F135" s="30"/>
    </row>
    <row r="136" spans="1:6" x14ac:dyDescent="0.2">
      <c r="A136" s="79"/>
      <c r="B136" s="82" t="s">
        <v>181</v>
      </c>
      <c r="C136" s="81" t="s">
        <v>0</v>
      </c>
      <c r="D136" s="29"/>
      <c r="E136" s="29"/>
      <c r="F136" s="30"/>
    </row>
    <row r="137" spans="1:6" x14ac:dyDescent="0.2">
      <c r="A137" s="79"/>
      <c r="B137" s="82" t="s">
        <v>182</v>
      </c>
      <c r="C137" s="81" t="s">
        <v>0</v>
      </c>
      <c r="D137" s="29"/>
      <c r="E137" s="29"/>
      <c r="F137" s="30"/>
    </row>
    <row r="138" spans="1:6" x14ac:dyDescent="0.2">
      <c r="A138" s="79"/>
      <c r="B138" s="82" t="s">
        <v>209</v>
      </c>
      <c r="C138" s="81" t="s">
        <v>0</v>
      </c>
      <c r="D138" s="29"/>
      <c r="E138" s="29"/>
      <c r="F138" s="30"/>
    </row>
    <row r="139" spans="1:6" x14ac:dyDescent="0.2">
      <c r="A139" s="79"/>
      <c r="B139" s="82" t="s">
        <v>183</v>
      </c>
      <c r="C139" s="81" t="s">
        <v>0</v>
      </c>
      <c r="D139" s="29"/>
      <c r="E139" s="29"/>
      <c r="F139" s="30"/>
    </row>
    <row r="140" spans="1:6" x14ac:dyDescent="0.2">
      <c r="A140" s="79"/>
      <c r="B140" s="80" t="s">
        <v>89</v>
      </c>
      <c r="C140" s="81" t="s">
        <v>0</v>
      </c>
      <c r="D140" s="29"/>
      <c r="E140" s="29"/>
      <c r="F140" s="30"/>
    </row>
    <row r="141" spans="1:6" x14ac:dyDescent="0.2">
      <c r="A141" s="79"/>
      <c r="B141" s="82" t="s">
        <v>63</v>
      </c>
      <c r="C141" s="81" t="s">
        <v>0</v>
      </c>
      <c r="D141" s="29"/>
      <c r="E141" s="29"/>
      <c r="F141" s="30"/>
    </row>
    <row r="142" spans="1:6" x14ac:dyDescent="0.2">
      <c r="A142" s="79"/>
      <c r="B142" s="82" t="s">
        <v>150</v>
      </c>
      <c r="C142" s="81" t="s">
        <v>141</v>
      </c>
      <c r="D142" s="29"/>
      <c r="E142" s="29"/>
      <c r="F142" s="30"/>
    </row>
    <row r="143" spans="1:6" x14ac:dyDescent="0.2">
      <c r="A143" s="79"/>
      <c r="B143" s="82" t="s">
        <v>184</v>
      </c>
      <c r="C143" s="81" t="s">
        <v>0</v>
      </c>
      <c r="D143" s="29"/>
      <c r="E143" s="29"/>
      <c r="F143" s="30"/>
    </row>
    <row r="144" spans="1:6" x14ac:dyDescent="0.2">
      <c r="A144" s="79"/>
      <c r="B144" s="82" t="s">
        <v>210</v>
      </c>
      <c r="C144" s="81" t="s">
        <v>0</v>
      </c>
      <c r="D144" s="29"/>
      <c r="E144" s="29"/>
      <c r="F144" s="30"/>
    </row>
    <row r="145" spans="1:6" x14ac:dyDescent="0.2">
      <c r="A145" s="79"/>
      <c r="B145" s="82" t="s">
        <v>211</v>
      </c>
      <c r="C145" s="81" t="s">
        <v>0</v>
      </c>
      <c r="D145" s="29"/>
      <c r="E145" s="29"/>
      <c r="F145" s="30"/>
    </row>
    <row r="146" spans="1:6" x14ac:dyDescent="0.2">
      <c r="A146" s="79"/>
      <c r="B146" s="82" t="s">
        <v>212</v>
      </c>
      <c r="C146" s="81" t="s">
        <v>0</v>
      </c>
      <c r="D146" s="29"/>
      <c r="E146" s="29"/>
      <c r="F146" s="30"/>
    </row>
    <row r="147" spans="1:6" x14ac:dyDescent="0.2">
      <c r="A147" s="79"/>
      <c r="B147" s="80" t="s">
        <v>138</v>
      </c>
      <c r="C147" s="81" t="s">
        <v>1</v>
      </c>
      <c r="D147" s="29"/>
      <c r="E147" s="29"/>
      <c r="F147" s="30"/>
    </row>
    <row r="148" spans="1:6" x14ac:dyDescent="0.2">
      <c r="A148" s="79"/>
      <c r="B148" s="82" t="s">
        <v>70</v>
      </c>
      <c r="C148" s="81" t="s">
        <v>0</v>
      </c>
      <c r="D148" s="29"/>
      <c r="E148" s="29"/>
      <c r="F148" s="30"/>
    </row>
    <row r="149" spans="1:6" x14ac:dyDescent="0.2">
      <c r="A149" s="79"/>
      <c r="B149" s="80" t="s">
        <v>123</v>
      </c>
      <c r="C149" s="81" t="s">
        <v>0</v>
      </c>
      <c r="D149" s="29"/>
      <c r="E149" s="29"/>
      <c r="F149" s="30"/>
    </row>
    <row r="150" spans="1:6" x14ac:dyDescent="0.2">
      <c r="A150" s="79"/>
      <c r="B150" s="82" t="s">
        <v>213</v>
      </c>
      <c r="C150" s="81" t="s">
        <v>141</v>
      </c>
      <c r="D150" s="29"/>
      <c r="E150" s="29"/>
      <c r="F150" s="30"/>
    </row>
    <row r="151" spans="1:6" x14ac:dyDescent="0.2">
      <c r="A151" s="79"/>
      <c r="B151" s="82" t="s">
        <v>214</v>
      </c>
      <c r="C151" s="81" t="s">
        <v>0</v>
      </c>
      <c r="D151" s="29"/>
      <c r="E151" s="29"/>
      <c r="F151" s="30"/>
    </row>
    <row r="152" spans="1:6" x14ac:dyDescent="0.2">
      <c r="A152" s="79"/>
      <c r="B152" s="80" t="s">
        <v>139</v>
      </c>
      <c r="C152" s="81" t="s">
        <v>1</v>
      </c>
      <c r="D152" s="29"/>
      <c r="E152" s="29"/>
      <c r="F152" s="30"/>
    </row>
    <row r="153" spans="1:6" ht="13.5" thickBot="1" x14ac:dyDescent="0.25">
      <c r="A153" s="79"/>
      <c r="B153" s="82" t="s">
        <v>215</v>
      </c>
      <c r="C153" s="81" t="s">
        <v>2</v>
      </c>
      <c r="D153" s="29"/>
      <c r="E153" s="29"/>
      <c r="F153" s="30"/>
    </row>
    <row r="154" spans="1:6" ht="13.5" thickBot="1" x14ac:dyDescent="0.25">
      <c r="A154" s="79"/>
      <c r="B154" s="82" t="s">
        <v>187</v>
      </c>
      <c r="C154" s="81" t="s">
        <v>1</v>
      </c>
      <c r="D154" s="29"/>
      <c r="E154" s="71" t="s">
        <v>217</v>
      </c>
      <c r="F154" s="30"/>
    </row>
    <row r="155" spans="1:6" ht="13.5" thickBot="1" x14ac:dyDescent="0.25">
      <c r="A155" s="83"/>
      <c r="B155" s="31"/>
      <c r="C155" s="31"/>
      <c r="D155" s="31"/>
      <c r="E155" s="31"/>
      <c r="F155" s="32"/>
    </row>
    <row r="156" spans="1:6" x14ac:dyDescent="0.2">
      <c r="C156"/>
    </row>
  </sheetData>
  <sheetProtection password="CC82" sheet="1" objects="1" scenarios="1"/>
  <hyperlinks>
    <hyperlink ref="E2" location="CMW!A50" display="return" xr:uid="{00000000-0004-0000-0200-000000000000}"/>
    <hyperlink ref="E154" location="CMW!A50" display="return" xr:uid="{00000000-0004-0000-0200-000001000000}"/>
    <hyperlink ref="E101" location="CMW!A50" display="return" xr:uid="{00000000-0004-0000-0200-000002000000}"/>
    <hyperlink ref="E50" location="CMW!A50" display="return" xr:uid="{00000000-0004-0000-0200-000003000000}"/>
  </hyperlinks>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6"/>
  <sheetViews>
    <sheetView showGridLines="0" topLeftCell="A27" workbookViewId="0">
      <selection activeCell="K12" sqref="K12"/>
    </sheetView>
  </sheetViews>
  <sheetFormatPr defaultColWidth="9.140625" defaultRowHeight="12.75" x14ac:dyDescent="0.2"/>
  <cols>
    <col min="1" max="1" width="3" style="6" customWidth="1"/>
    <col min="2" max="2" width="24.42578125" style="6" customWidth="1"/>
    <col min="3" max="4" width="9.140625" style="6"/>
    <col min="5" max="5" width="16.42578125" style="6" customWidth="1"/>
    <col min="6" max="6" width="8.42578125" style="6" customWidth="1"/>
    <col min="7" max="7" width="5.140625" style="6" customWidth="1"/>
    <col min="8" max="8" width="4.42578125" style="6" customWidth="1"/>
    <col min="9" max="16384" width="9.140625" style="6"/>
  </cols>
  <sheetData>
    <row r="1" spans="1:18" s="7" customFormat="1" ht="44.25" customHeight="1" x14ac:dyDescent="0.2">
      <c r="A1" s="449" t="s">
        <v>428</v>
      </c>
      <c r="B1" s="410"/>
      <c r="C1" s="410"/>
      <c r="D1" s="410"/>
      <c r="E1" s="410"/>
      <c r="F1" s="410"/>
      <c r="G1" s="410"/>
      <c r="H1" s="137"/>
      <c r="I1" s="1"/>
      <c r="J1" s="1"/>
      <c r="K1" s="1"/>
      <c r="L1" s="1"/>
      <c r="M1" s="1"/>
      <c r="N1" s="1"/>
      <c r="O1" s="1"/>
      <c r="P1" s="1"/>
      <c r="Q1" s="1"/>
      <c r="R1" s="1"/>
    </row>
    <row r="2" spans="1:18" ht="12.75" customHeight="1" x14ac:dyDescent="0.2">
      <c r="A2" s="138"/>
      <c r="B2" s="139"/>
      <c r="C2" s="139"/>
      <c r="D2" s="139"/>
      <c r="E2" s="139"/>
      <c r="F2" s="140"/>
      <c r="G2" s="140"/>
      <c r="H2" s="140"/>
      <c r="I2"/>
      <c r="J2"/>
      <c r="K2"/>
      <c r="L2"/>
      <c r="M2"/>
      <c r="N2"/>
      <c r="O2"/>
      <c r="P2"/>
      <c r="Q2"/>
      <c r="R2"/>
    </row>
    <row r="3" spans="1:18" ht="12.75" customHeight="1" x14ac:dyDescent="0.2">
      <c r="A3" s="138"/>
      <c r="B3" s="141"/>
      <c r="C3" s="142"/>
      <c r="D3" s="143"/>
      <c r="E3" s="142"/>
      <c r="F3" s="144" t="s">
        <v>11</v>
      </c>
      <c r="G3" s="156"/>
      <c r="H3" s="140"/>
      <c r="I3"/>
      <c r="J3"/>
      <c r="K3"/>
      <c r="L3"/>
      <c r="M3"/>
      <c r="N3"/>
      <c r="O3"/>
      <c r="P3"/>
      <c r="Q3"/>
      <c r="R3"/>
    </row>
    <row r="4" spans="1:18" ht="12.75" customHeight="1" x14ac:dyDescent="0.2">
      <c r="A4" s="135"/>
      <c r="B4" s="145" t="s">
        <v>258</v>
      </c>
      <c r="C4" s="1"/>
      <c r="D4" s="1"/>
      <c r="E4" s="146" t="s">
        <v>10</v>
      </c>
      <c r="F4" s="24">
        <v>100</v>
      </c>
      <c r="G4" s="25"/>
      <c r="H4" s="134"/>
      <c r="I4" s="2" t="s">
        <v>262</v>
      </c>
      <c r="J4"/>
      <c r="K4"/>
      <c r="L4"/>
      <c r="M4"/>
      <c r="N4"/>
    </row>
    <row r="5" spans="1:18" ht="12.75" customHeight="1" x14ac:dyDescent="0.2">
      <c r="A5" s="135"/>
      <c r="B5" s="147"/>
      <c r="C5" s="1"/>
      <c r="D5" s="1"/>
      <c r="E5" s="326" t="s">
        <v>433</v>
      </c>
      <c r="F5" s="24">
        <v>100</v>
      </c>
      <c r="G5" s="25"/>
      <c r="H5" s="134"/>
      <c r="I5" t="s">
        <v>447</v>
      </c>
      <c r="J5"/>
      <c r="K5"/>
      <c r="L5"/>
      <c r="M5"/>
      <c r="N5"/>
    </row>
    <row r="6" spans="1:18" ht="12.75" customHeight="1" x14ac:dyDescent="0.2">
      <c r="A6" s="135"/>
      <c r="B6" s="148"/>
      <c r="C6" s="149"/>
      <c r="D6" s="149"/>
      <c r="E6" s="151" t="s">
        <v>261</v>
      </c>
      <c r="F6" s="26">
        <v>2</v>
      </c>
      <c r="H6" s="134"/>
      <c r="I6"/>
      <c r="J6"/>
      <c r="K6"/>
      <c r="L6"/>
      <c r="M6"/>
      <c r="N6"/>
    </row>
    <row r="7" spans="1:18" ht="12.75" customHeight="1" x14ac:dyDescent="0.2">
      <c r="A7" s="135"/>
      <c r="B7" s="141"/>
      <c r="C7" s="142"/>
      <c r="D7" s="142"/>
      <c r="E7" s="150"/>
      <c r="F7" s="27"/>
      <c r="G7" s="28"/>
      <c r="H7" s="134"/>
      <c r="I7"/>
      <c r="J7"/>
      <c r="K7"/>
      <c r="L7"/>
      <c r="M7"/>
      <c r="N7"/>
    </row>
    <row r="8" spans="1:18" ht="12.75" customHeight="1" x14ac:dyDescent="0.2">
      <c r="A8" s="135"/>
      <c r="B8" s="145" t="s">
        <v>259</v>
      </c>
      <c r="C8" s="1"/>
      <c r="D8" s="1"/>
      <c r="E8" s="146" t="str">
        <f>E4</f>
        <v>Enter employment status %</v>
      </c>
      <c r="F8" s="26">
        <v>100</v>
      </c>
      <c r="G8" s="25"/>
      <c r="H8" s="134"/>
      <c r="I8" s="152" t="s">
        <v>263</v>
      </c>
      <c r="J8"/>
      <c r="K8"/>
      <c r="L8"/>
      <c r="M8"/>
      <c r="N8"/>
    </row>
    <row r="9" spans="1:18" ht="12.75" customHeight="1" x14ac:dyDescent="0.2">
      <c r="A9" s="135"/>
      <c r="B9" s="145"/>
      <c r="C9" s="1"/>
      <c r="D9" s="1"/>
      <c r="E9" s="326" t="s">
        <v>434</v>
      </c>
      <c r="F9" s="26">
        <v>100</v>
      </c>
      <c r="G9" s="25"/>
      <c r="H9" s="134"/>
      <c r="I9"/>
      <c r="J9"/>
      <c r="K9"/>
      <c r="L9"/>
      <c r="M9"/>
      <c r="N9"/>
    </row>
    <row r="10" spans="1:18" ht="12.75" customHeight="1" x14ac:dyDescent="0.2">
      <c r="A10" s="135"/>
      <c r="B10" s="148"/>
      <c r="C10" s="149"/>
      <c r="D10" s="149"/>
      <c r="E10" s="155" t="s">
        <v>287</v>
      </c>
      <c r="F10" s="26">
        <v>2</v>
      </c>
      <c r="H10" s="134"/>
      <c r="I10"/>
      <c r="J10"/>
      <c r="K10"/>
      <c r="L10"/>
      <c r="M10"/>
      <c r="N10"/>
    </row>
    <row r="11" spans="1:18" ht="12.75" customHeight="1" x14ac:dyDescent="0.2">
      <c r="A11" s="135"/>
      <c r="B11" s="141"/>
      <c r="C11" s="142"/>
      <c r="D11" s="142"/>
      <c r="E11" s="150"/>
      <c r="F11" s="27"/>
      <c r="G11" s="28"/>
      <c r="H11" s="134"/>
      <c r="I11"/>
      <c r="J11"/>
      <c r="K11"/>
      <c r="L11"/>
      <c r="M11"/>
      <c r="N11"/>
    </row>
    <row r="12" spans="1:18" ht="15.75" x14ac:dyDescent="0.2">
      <c r="A12" s="134"/>
      <c r="B12" s="145" t="s">
        <v>260</v>
      </c>
      <c r="C12" s="1"/>
      <c r="D12" s="1"/>
      <c r="E12" s="146" t="str">
        <f>E4</f>
        <v>Enter employment status %</v>
      </c>
      <c r="F12" s="26"/>
      <c r="G12" s="25"/>
      <c r="H12" s="134"/>
      <c r="I12"/>
      <c r="J12"/>
      <c r="K12"/>
      <c r="L12"/>
      <c r="M12"/>
      <c r="N12"/>
    </row>
    <row r="13" spans="1:18" ht="15.75" x14ac:dyDescent="0.2">
      <c r="A13" s="134"/>
      <c r="B13" s="147"/>
      <c r="C13" s="1"/>
      <c r="D13" s="1"/>
      <c r="E13" s="326" t="s">
        <v>435</v>
      </c>
      <c r="F13" s="26"/>
      <c r="G13" s="25"/>
      <c r="H13" s="134"/>
      <c r="I13"/>
      <c r="J13"/>
      <c r="K13"/>
      <c r="L13"/>
      <c r="M13"/>
      <c r="N13"/>
    </row>
    <row r="14" spans="1:18" ht="13.5" thickBot="1" x14ac:dyDescent="0.25">
      <c r="A14" s="134"/>
      <c r="B14" s="5"/>
      <c r="C14" s="1"/>
      <c r="D14" s="1"/>
      <c r="E14" s="190" t="s">
        <v>286</v>
      </c>
      <c r="F14" s="191"/>
      <c r="H14" s="134"/>
      <c r="I14"/>
      <c r="J14"/>
      <c r="K14"/>
      <c r="L14"/>
      <c r="M14"/>
      <c r="N14"/>
    </row>
    <row r="15" spans="1:18" ht="15" x14ac:dyDescent="0.2">
      <c r="A15" s="134"/>
      <c r="B15" s="192"/>
      <c r="C15" s="62"/>
      <c r="D15" s="62"/>
      <c r="E15" s="193"/>
      <c r="F15" s="193"/>
      <c r="G15" s="194"/>
      <c r="H15" s="134"/>
      <c r="I15"/>
      <c r="J15"/>
      <c r="K15"/>
      <c r="L15"/>
      <c r="M15"/>
      <c r="N15"/>
    </row>
    <row r="16" spans="1:18" ht="15" x14ac:dyDescent="0.25">
      <c r="A16" s="134"/>
      <c r="B16" s="131"/>
      <c r="C16" s="128"/>
      <c r="D16" s="128"/>
      <c r="E16" s="129" t="s">
        <v>26</v>
      </c>
      <c r="F16" s="130">
        <f>MIN(((F6/12)*F4*F5+(F10/12)*F8*F9+(F14/12)*F12*F13 ) *0.0001,1)</f>
        <v>0.33333333333333331</v>
      </c>
      <c r="G16" s="30"/>
      <c r="H16" s="134"/>
      <c r="I16"/>
      <c r="J16" s="136">
        <f>((F6/12*F4*F5)+(F10/12*F8*F9)+(F14/12*F12*F13))*0.0001</f>
        <v>0.33333333333333331</v>
      </c>
      <c r="K16"/>
      <c r="L16"/>
      <c r="M16"/>
      <c r="N16"/>
    </row>
    <row r="17" spans="1:21" ht="15" thickBot="1" x14ac:dyDescent="0.25">
      <c r="A17" s="134"/>
      <c r="B17" s="195"/>
      <c r="C17" s="196"/>
      <c r="D17" s="196"/>
      <c r="E17" s="196"/>
      <c r="F17" s="196"/>
      <c r="G17" s="32"/>
      <c r="H17" s="134"/>
      <c r="I17"/>
      <c r="J17"/>
      <c r="K17"/>
      <c r="L17"/>
      <c r="M17"/>
      <c r="N17"/>
    </row>
    <row r="18" spans="1:21" ht="15" thickBot="1" x14ac:dyDescent="0.25">
      <c r="A18" s="134"/>
      <c r="B18" s="197"/>
      <c r="C18" s="198"/>
      <c r="D18" s="198"/>
      <c r="E18" s="199" t="s">
        <v>6</v>
      </c>
      <c r="F18" s="200">
        <f>IF(F16&lt;0.5,F16*9.6,5)</f>
        <v>3.1999999999999997</v>
      </c>
      <c r="G18" s="201"/>
      <c r="H18" s="134"/>
      <c r="I18"/>
      <c r="J18" s="447" t="s">
        <v>257</v>
      </c>
      <c r="K18" s="448"/>
      <c r="L18"/>
      <c r="M18"/>
      <c r="N18"/>
      <c r="O18"/>
      <c r="P18"/>
      <c r="Q18"/>
    </row>
    <row r="19" spans="1:21" ht="18.75" thickBot="1" x14ac:dyDescent="0.3">
      <c r="A19" s="134"/>
      <c r="B19" s="202"/>
      <c r="C19" s="203"/>
      <c r="D19" s="203"/>
      <c r="E19" s="203"/>
      <c r="F19" s="203"/>
      <c r="G19" s="204"/>
      <c r="H19" s="134"/>
      <c r="I19"/>
      <c r="J19"/>
      <c r="K19"/>
      <c r="L19"/>
      <c r="M19"/>
      <c r="N19"/>
      <c r="O19"/>
      <c r="P19"/>
      <c r="Q19"/>
    </row>
    <row r="20" spans="1:21" x14ac:dyDescent="0.2">
      <c r="A20" s="134"/>
      <c r="B20" s="134"/>
      <c r="C20" s="134"/>
      <c r="D20" s="134"/>
      <c r="E20" s="134"/>
      <c r="F20" s="134"/>
      <c r="G20" s="134"/>
      <c r="H20" s="134"/>
      <c r="I20"/>
      <c r="J20"/>
      <c r="K20"/>
      <c r="L20"/>
      <c r="M20"/>
      <c r="N20"/>
      <c r="O20"/>
      <c r="P20"/>
      <c r="Q20"/>
    </row>
    <row r="21" spans="1:21" x14ac:dyDescent="0.2">
      <c r="A21" s="134"/>
      <c r="B21" s="134"/>
      <c r="C21" s="134"/>
      <c r="D21" s="134"/>
      <c r="E21" s="134"/>
      <c r="F21" s="134"/>
      <c r="G21" s="134"/>
      <c r="H21" s="134"/>
      <c r="I21"/>
      <c r="J21"/>
      <c r="K21"/>
      <c r="L21"/>
      <c r="M21"/>
      <c r="N21"/>
      <c r="O21"/>
      <c r="P21"/>
      <c r="Q21"/>
    </row>
    <row r="22" spans="1:21" x14ac:dyDescent="0.2">
      <c r="I22"/>
      <c r="J22"/>
      <c r="K22"/>
      <c r="L22"/>
      <c r="M22"/>
      <c r="N22"/>
      <c r="O22"/>
      <c r="P22"/>
      <c r="Q22"/>
    </row>
    <row r="23" spans="1:21" s="7" customFormat="1" ht="37.5" customHeight="1" x14ac:dyDescent="0.2">
      <c r="A23" s="2"/>
      <c r="B23" s="2"/>
      <c r="C23" s="14"/>
      <c r="D23" s="14"/>
      <c r="E23" s="6"/>
      <c r="J23"/>
      <c r="K23"/>
      <c r="L23"/>
      <c r="M23"/>
      <c r="N23"/>
      <c r="O23"/>
      <c r="P23"/>
      <c r="Q23"/>
      <c r="R23" s="6"/>
      <c r="S23" s="6"/>
      <c r="T23" s="6"/>
      <c r="U23" s="6"/>
    </row>
    <row r="24" spans="1:21" x14ac:dyDescent="0.2">
      <c r="A24" s="2"/>
      <c r="B24" s="2"/>
      <c r="C24" s="14"/>
      <c r="D24" s="14"/>
      <c r="J24"/>
      <c r="K24"/>
      <c r="L24"/>
      <c r="M24"/>
      <c r="N24"/>
      <c r="O24"/>
      <c r="P24"/>
      <c r="Q24"/>
    </row>
    <row r="25" spans="1:21" x14ac:dyDescent="0.2">
      <c r="A25" s="2"/>
      <c r="B25" s="2"/>
      <c r="C25" s="14"/>
      <c r="D25" s="14"/>
      <c r="J25"/>
      <c r="K25"/>
      <c r="L25"/>
      <c r="M25"/>
      <c r="N25"/>
      <c r="O25"/>
      <c r="P25"/>
      <c r="Q25"/>
    </row>
    <row r="26" spans="1:21" x14ac:dyDescent="0.2">
      <c r="A26" s="2"/>
      <c r="B26" s="2"/>
      <c r="C26" s="14"/>
      <c r="D26" s="14"/>
      <c r="J26"/>
      <c r="K26"/>
      <c r="L26"/>
      <c r="M26"/>
      <c r="N26"/>
      <c r="O26"/>
      <c r="P26"/>
      <c r="Q26"/>
    </row>
    <row r="27" spans="1:21" ht="16.5" customHeight="1" x14ac:dyDescent="0.2">
      <c r="A27" s="2"/>
      <c r="B27" s="2"/>
      <c r="C27" s="14"/>
      <c r="D27" s="14"/>
      <c r="J27"/>
      <c r="K27"/>
      <c r="L27"/>
      <c r="M27"/>
      <c r="N27"/>
      <c r="O27"/>
      <c r="P27"/>
      <c r="Q27"/>
    </row>
    <row r="28" spans="1:21" x14ac:dyDescent="0.2">
      <c r="A28" s="2"/>
      <c r="B28" s="2"/>
      <c r="C28" s="14"/>
      <c r="D28" s="14"/>
      <c r="J28"/>
      <c r="K28"/>
      <c r="L28"/>
      <c r="M28"/>
      <c r="N28"/>
      <c r="O28"/>
      <c r="P28"/>
      <c r="Q28"/>
    </row>
    <row r="29" spans="1:21" x14ac:dyDescent="0.2">
      <c r="A29" s="2"/>
      <c r="B29" s="2"/>
      <c r="C29" s="14"/>
      <c r="D29" s="14"/>
      <c r="J29"/>
      <c r="K29"/>
      <c r="L29"/>
      <c r="M29"/>
      <c r="N29"/>
      <c r="O29"/>
      <c r="P29"/>
      <c r="Q29"/>
    </row>
    <row r="30" spans="1:21" x14ac:dyDescent="0.2">
      <c r="A30" s="2"/>
      <c r="B30" s="2"/>
      <c r="C30" s="14"/>
      <c r="D30" s="14"/>
      <c r="J30"/>
      <c r="K30"/>
      <c r="L30"/>
      <c r="M30"/>
      <c r="N30"/>
      <c r="O30"/>
      <c r="P30"/>
      <c r="Q30"/>
    </row>
    <row r="31" spans="1:21" x14ac:dyDescent="0.2">
      <c r="A31" s="2"/>
      <c r="B31" s="2"/>
      <c r="C31" s="14"/>
      <c r="D31" s="14"/>
      <c r="J31"/>
      <c r="K31"/>
      <c r="L31"/>
      <c r="M31"/>
      <c r="N31"/>
      <c r="O31"/>
      <c r="P31"/>
      <c r="Q31"/>
    </row>
    <row r="32" spans="1:21" x14ac:dyDescent="0.2">
      <c r="A32" s="2"/>
      <c r="B32" s="2"/>
      <c r="C32" s="14"/>
      <c r="D32" s="14"/>
      <c r="J32"/>
      <c r="K32"/>
      <c r="L32"/>
      <c r="M32"/>
      <c r="N32"/>
      <c r="O32"/>
      <c r="P32"/>
      <c r="Q32"/>
    </row>
    <row r="33" spans="1:19" x14ac:dyDescent="0.2">
      <c r="A33" s="2"/>
      <c r="B33" s="2"/>
      <c r="C33" s="14"/>
      <c r="D33" s="14"/>
      <c r="J33"/>
      <c r="K33"/>
      <c r="L33"/>
      <c r="M33"/>
      <c r="N33"/>
      <c r="O33"/>
      <c r="P33"/>
      <c r="Q33"/>
    </row>
    <row r="34" spans="1:19" x14ac:dyDescent="0.2">
      <c r="A34" s="2"/>
      <c r="B34" s="2"/>
      <c r="C34" s="14"/>
      <c r="D34" s="14"/>
      <c r="J34"/>
      <c r="K34"/>
      <c r="L34"/>
      <c r="M34"/>
      <c r="N34"/>
      <c r="O34"/>
      <c r="P34"/>
      <c r="Q34"/>
    </row>
    <row r="35" spans="1:19" ht="20.25" customHeight="1" x14ac:dyDescent="0.2">
      <c r="A35" s="2"/>
      <c r="B35" s="2"/>
      <c r="C35" s="14"/>
      <c r="D35" s="14"/>
      <c r="J35"/>
      <c r="K35"/>
      <c r="L35"/>
      <c r="M35"/>
      <c r="N35"/>
      <c r="O35"/>
      <c r="P35"/>
      <c r="Q35"/>
    </row>
    <row r="36" spans="1:19" x14ac:dyDescent="0.2">
      <c r="A36" s="2"/>
      <c r="B36" s="2"/>
      <c r="C36" s="14"/>
      <c r="D36" s="14"/>
      <c r="J36"/>
      <c r="K36"/>
      <c r="L36"/>
      <c r="M36"/>
      <c r="N36"/>
      <c r="O36"/>
      <c r="P36"/>
      <c r="Q36"/>
    </row>
    <row r="37" spans="1:19" x14ac:dyDescent="0.2">
      <c r="A37" s="2"/>
      <c r="B37" s="2"/>
      <c r="C37" s="14"/>
      <c r="D37" s="14"/>
      <c r="J37"/>
      <c r="K37"/>
      <c r="L37"/>
      <c r="M37"/>
      <c r="N37"/>
      <c r="O37"/>
      <c r="P37"/>
      <c r="Q37"/>
    </row>
    <row r="38" spans="1:19" x14ac:dyDescent="0.2">
      <c r="A38" s="2"/>
      <c r="B38" s="2"/>
      <c r="C38" s="14"/>
      <c r="D38" s="14"/>
      <c r="J38"/>
      <c r="K38"/>
      <c r="L38"/>
      <c r="M38"/>
      <c r="N38"/>
      <c r="O38"/>
      <c r="P38"/>
      <c r="Q38"/>
    </row>
    <row r="39" spans="1:19" x14ac:dyDescent="0.2">
      <c r="A39" s="2"/>
      <c r="B39" s="2"/>
      <c r="C39" s="14"/>
      <c r="D39" s="14"/>
      <c r="J39"/>
      <c r="K39"/>
      <c r="L39"/>
      <c r="M39"/>
      <c r="N39"/>
      <c r="O39"/>
      <c r="P39"/>
      <c r="Q39"/>
    </row>
    <row r="40" spans="1:19" x14ac:dyDescent="0.2">
      <c r="A40" s="2"/>
      <c r="B40" s="2"/>
      <c r="C40" s="14"/>
      <c r="D40" s="14"/>
      <c r="J40"/>
      <c r="K40"/>
      <c r="L40"/>
      <c r="M40"/>
      <c r="N40"/>
      <c r="O40"/>
      <c r="P40"/>
      <c r="Q40"/>
    </row>
    <row r="41" spans="1:19" x14ac:dyDescent="0.2">
      <c r="A41" s="2"/>
      <c r="B41" s="2"/>
      <c r="C41" s="14"/>
      <c r="D41" s="14"/>
      <c r="J41"/>
      <c r="K41"/>
      <c r="L41"/>
      <c r="M41"/>
      <c r="N41"/>
      <c r="O41"/>
      <c r="P41"/>
      <c r="Q41"/>
    </row>
    <row r="42" spans="1:19" x14ac:dyDescent="0.2">
      <c r="A42" s="153"/>
      <c r="B42" s="153"/>
      <c r="C42" s="2"/>
      <c r="D42" s="2"/>
      <c r="E42" s="2"/>
      <c r="F42" s="2"/>
      <c r="G42" s="2"/>
      <c r="H42" s="2"/>
      <c r="I42" s="2"/>
      <c r="J42"/>
      <c r="K42"/>
      <c r="L42"/>
      <c r="M42"/>
      <c r="N42"/>
      <c r="O42"/>
      <c r="P42"/>
      <c r="Q42"/>
    </row>
    <row r="43" spans="1:19" x14ac:dyDescent="0.2">
      <c r="A43" s="153"/>
      <c r="B43" s="153"/>
      <c r="C43" s="2"/>
      <c r="D43" s="2"/>
      <c r="E43" s="2"/>
      <c r="F43" s="2"/>
      <c r="G43" s="2"/>
      <c r="H43" s="2"/>
      <c r="I43" s="2"/>
      <c r="J43"/>
      <c r="K43"/>
      <c r="L43"/>
      <c r="M43"/>
      <c r="N43"/>
      <c r="O43"/>
      <c r="P43"/>
      <c r="Q43"/>
    </row>
    <row r="44" spans="1:19" x14ac:dyDescent="0.2">
      <c r="A44" s="2"/>
      <c r="B44" s="2"/>
      <c r="C44" s="2"/>
      <c r="D44" s="2"/>
      <c r="E44" s="2"/>
      <c r="F44" s="2"/>
      <c r="G44" s="2"/>
      <c r="H44" s="2"/>
      <c r="I44" s="2"/>
      <c r="J44"/>
      <c r="K44"/>
      <c r="L44"/>
      <c r="M44"/>
      <c r="N44"/>
      <c r="O44"/>
      <c r="P44"/>
      <c r="Q44"/>
    </row>
    <row r="45" spans="1:19" x14ac:dyDescent="0.2">
      <c r="I45" s="14"/>
      <c r="J45"/>
      <c r="K45"/>
      <c r="L45"/>
      <c r="M45"/>
      <c r="N45"/>
      <c r="O45"/>
      <c r="P45"/>
      <c r="Q45"/>
    </row>
    <row r="46" spans="1:19" x14ac:dyDescent="0.2">
      <c r="I46" s="14"/>
      <c r="J46" s="14"/>
      <c r="K46" s="14"/>
      <c r="L46" s="14"/>
      <c r="M46" s="14"/>
      <c r="N46" s="14"/>
      <c r="O46" s="14"/>
      <c r="P46" s="14"/>
      <c r="Q46" s="14"/>
      <c r="R46" s="14"/>
      <c r="S46" s="14"/>
    </row>
  </sheetData>
  <mergeCells count="2">
    <mergeCell ref="J18:K18"/>
    <mergeCell ref="A1:G1"/>
  </mergeCells>
  <phoneticPr fontId="4" type="noConversion"/>
  <conditionalFormatting sqref="F18">
    <cfRule type="cellIs" dxfId="0" priority="2" stopIfTrue="1" operator="greaterThan">
      <formula>12</formula>
    </cfRule>
  </conditionalFormatting>
  <dataValidations disablePrompts="1" count="4">
    <dataValidation type="whole" operator="lessThanOrEqual" allowBlank="1" showInputMessage="1" showErrorMessage="1" sqref="F14 F10" xr:uid="{00000000-0002-0000-0300-000000000000}">
      <formula1>12</formula1>
    </dataValidation>
    <dataValidation type="decimal" operator="lessThanOrEqual" allowBlank="1" showInputMessage="1" showErrorMessage="1" sqref="F6" xr:uid="{00000000-0002-0000-0300-000001000000}">
      <formula1>12</formula1>
    </dataValidation>
    <dataValidation type="whole" allowBlank="1" showInputMessage="1" showErrorMessage="1" error="Value must be a whole number between 0-100" sqref="F12:F13" xr:uid="{00000000-0002-0000-0300-000002000000}">
      <formula1>0</formula1>
      <formula2>100</formula2>
    </dataValidation>
    <dataValidation type="whole" allowBlank="1" showInputMessage="1" showErrorMessage="1" error="Value must be a whole number between 1-100" sqref="F4:F5 F8:F9" xr:uid="{00000000-0002-0000-0300-000003000000}">
      <formula1>1</formula1>
      <formula2>100</formula2>
    </dataValidation>
  </dataValidations>
  <hyperlinks>
    <hyperlink ref="J18:K18" location="CMW!A17" display="Return to CMW" xr:uid="{00000000-0004-0000-0300-000000000000}"/>
  </hyperlinks>
  <pageMargins left="0.75" right="0.75" top="1" bottom="1" header="0.5" footer="0.5"/>
  <pageSetup orientation="portrait"/>
  <headerFooter alignWithMargins="0"/>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N49"/>
  <sheetViews>
    <sheetView topLeftCell="A32" workbookViewId="0">
      <selection activeCell="H48" sqref="H48"/>
    </sheetView>
  </sheetViews>
  <sheetFormatPr defaultColWidth="8.85546875" defaultRowHeight="12.75" x14ac:dyDescent="0.2"/>
  <cols>
    <col min="2" max="2" width="16.85546875" customWidth="1"/>
    <col min="3" max="3" width="2.42578125" customWidth="1"/>
    <col min="4" max="4" width="9.140625" bestFit="1" customWidth="1"/>
    <col min="5" max="5" width="12.85546875" customWidth="1"/>
    <col min="8" max="8" width="54.85546875" customWidth="1"/>
    <col min="9" max="9" width="30.5703125" customWidth="1"/>
    <col min="10" max="10" width="29.42578125" customWidth="1"/>
    <col min="13" max="13" width="28.140625" customWidth="1"/>
    <col min="14" max="14" width="28" customWidth="1"/>
  </cols>
  <sheetData>
    <row r="3" spans="2:14" x14ac:dyDescent="0.2">
      <c r="B3" t="s">
        <v>40</v>
      </c>
      <c r="D3" s="2" t="s">
        <v>25</v>
      </c>
      <c r="F3" s="2" t="s">
        <v>28</v>
      </c>
      <c r="I3" s="2" t="s">
        <v>268</v>
      </c>
      <c r="J3" s="2"/>
    </row>
    <row r="4" spans="2:14" x14ac:dyDescent="0.2">
      <c r="B4" s="86">
        <v>44013</v>
      </c>
      <c r="D4" s="86">
        <v>45838</v>
      </c>
      <c r="F4" s="2"/>
      <c r="I4" s="2" t="s">
        <v>265</v>
      </c>
      <c r="J4" s="2">
        <v>1</v>
      </c>
      <c r="L4" s="2" t="s">
        <v>48</v>
      </c>
    </row>
    <row r="5" spans="2:14" x14ac:dyDescent="0.2">
      <c r="B5" s="86">
        <v>44197</v>
      </c>
      <c r="D5" s="86">
        <v>46022</v>
      </c>
      <c r="F5" s="2" t="s">
        <v>27</v>
      </c>
      <c r="I5" s="2" t="s">
        <v>266</v>
      </c>
      <c r="J5" s="2">
        <v>0.5</v>
      </c>
      <c r="L5" s="2" t="s">
        <v>46</v>
      </c>
    </row>
    <row r="6" spans="2:14" x14ac:dyDescent="0.2">
      <c r="B6" s="86">
        <v>44378</v>
      </c>
      <c r="D6" s="86">
        <v>46203</v>
      </c>
      <c r="I6" s="2" t="s">
        <v>267</v>
      </c>
      <c r="J6" s="2">
        <v>0.5</v>
      </c>
      <c r="L6" s="2" t="s">
        <v>47</v>
      </c>
    </row>
    <row r="7" spans="2:14" x14ac:dyDescent="0.2">
      <c r="B7" s="86">
        <v>44562</v>
      </c>
      <c r="D7" s="86">
        <v>46387</v>
      </c>
      <c r="I7" s="154" t="s">
        <v>316</v>
      </c>
      <c r="J7" s="154"/>
      <c r="L7" s="2"/>
    </row>
    <row r="8" spans="2:14" x14ac:dyDescent="0.2">
      <c r="B8" s="86">
        <v>44743</v>
      </c>
      <c r="D8" s="86">
        <v>46568</v>
      </c>
      <c r="I8" s="154" t="s">
        <v>317</v>
      </c>
      <c r="J8" s="154"/>
      <c r="M8" t="s">
        <v>450</v>
      </c>
      <c r="N8" s="2" t="s">
        <v>234</v>
      </c>
    </row>
    <row r="9" spans="2:14" ht="15.75" customHeight="1" x14ac:dyDescent="0.2">
      <c r="B9" s="86">
        <v>44927</v>
      </c>
      <c r="D9" s="86">
        <v>46752</v>
      </c>
      <c r="M9" s="2" t="s">
        <v>235</v>
      </c>
      <c r="N9" t="s">
        <v>452</v>
      </c>
    </row>
    <row r="10" spans="2:14" ht="15.75" customHeight="1" x14ac:dyDescent="0.2">
      <c r="B10" s="86">
        <v>45108</v>
      </c>
      <c r="D10" s="86">
        <v>46934</v>
      </c>
      <c r="M10" s="2" t="s">
        <v>240</v>
      </c>
    </row>
    <row r="11" spans="2:14" ht="15.75" customHeight="1" x14ac:dyDescent="0.2">
      <c r="B11" s="86">
        <v>45292</v>
      </c>
      <c r="D11" s="86">
        <v>47118</v>
      </c>
      <c r="M11" s="2" t="s">
        <v>236</v>
      </c>
    </row>
    <row r="12" spans="2:14" ht="15.75" customHeight="1" x14ac:dyDescent="0.2">
      <c r="B12" s="86">
        <v>45474</v>
      </c>
      <c r="D12" s="86">
        <v>47299</v>
      </c>
    </row>
    <row r="13" spans="2:14" ht="15.75" customHeight="1" x14ac:dyDescent="0.2">
      <c r="B13" s="86">
        <v>45658</v>
      </c>
      <c r="D13" s="86">
        <v>47483</v>
      </c>
      <c r="M13" s="14" t="s">
        <v>237</v>
      </c>
    </row>
    <row r="14" spans="2:14" ht="15.75" customHeight="1" x14ac:dyDescent="0.2">
      <c r="B14" s="269">
        <v>45839</v>
      </c>
      <c r="D14" s="269">
        <v>47664</v>
      </c>
      <c r="M14" s="14" t="s">
        <v>238</v>
      </c>
    </row>
    <row r="15" spans="2:14" ht="15.75" customHeight="1" x14ac:dyDescent="0.2">
      <c r="B15" s="86"/>
      <c r="D15" s="86"/>
      <c r="H15" s="2" t="s">
        <v>53</v>
      </c>
      <c r="M15" s="14" t="s">
        <v>239</v>
      </c>
    </row>
    <row r="16" spans="2:14" ht="15.75" customHeight="1" x14ac:dyDescent="0.2">
      <c r="B16" s="86"/>
      <c r="D16" s="86"/>
      <c r="H16" s="274" t="s">
        <v>386</v>
      </c>
      <c r="M16" s="6" t="s">
        <v>453</v>
      </c>
    </row>
    <row r="17" spans="1:13" ht="15.75" customHeight="1" x14ac:dyDescent="0.2">
      <c r="B17" s="269"/>
      <c r="D17" s="269"/>
      <c r="H17" s="273" t="s">
        <v>387</v>
      </c>
    </row>
    <row r="18" spans="1:13" ht="15.75" customHeight="1" x14ac:dyDescent="0.2">
      <c r="H18" s="273" t="s">
        <v>390</v>
      </c>
    </row>
    <row r="19" spans="1:13" ht="15.75" customHeight="1" x14ac:dyDescent="0.2">
      <c r="A19" s="65"/>
      <c r="H19" s="273" t="s">
        <v>388</v>
      </c>
    </row>
    <row r="20" spans="1:13" ht="15.75" customHeight="1" x14ac:dyDescent="0.2">
      <c r="H20" s="273" t="s">
        <v>389</v>
      </c>
    </row>
    <row r="21" spans="1:13" ht="15.75" customHeight="1" x14ac:dyDescent="0.2">
      <c r="D21" s="50"/>
    </row>
    <row r="22" spans="1:13" x14ac:dyDescent="0.2">
      <c r="F22" s="2" t="s">
        <v>20</v>
      </c>
      <c r="H22" s="2" t="s">
        <v>22</v>
      </c>
    </row>
    <row r="23" spans="1:13" ht="51.95" customHeight="1" x14ac:dyDescent="0.2">
      <c r="B23" s="205" t="s">
        <v>363</v>
      </c>
      <c r="F23" t="s">
        <v>425</v>
      </c>
      <c r="H23" s="2" t="s">
        <v>21</v>
      </c>
      <c r="M23" t="s">
        <v>451</v>
      </c>
    </row>
    <row r="24" spans="1:13" x14ac:dyDescent="0.2">
      <c r="B24" t="s">
        <v>13</v>
      </c>
      <c r="F24" s="2"/>
      <c r="H24" s="154" t="s">
        <v>290</v>
      </c>
    </row>
    <row r="25" spans="1:13" x14ac:dyDescent="0.2">
      <c r="B25" t="s">
        <v>12</v>
      </c>
      <c r="F25" s="2"/>
      <c r="H25" s="154" t="s">
        <v>291</v>
      </c>
    </row>
    <row r="27" spans="1:13" x14ac:dyDescent="0.2">
      <c r="B27" s="273" t="s">
        <v>119</v>
      </c>
    </row>
    <row r="28" spans="1:13" x14ac:dyDescent="0.2">
      <c r="B28" s="274" t="s">
        <v>375</v>
      </c>
    </row>
    <row r="29" spans="1:13" x14ac:dyDescent="0.2">
      <c r="B29" s="273" t="s">
        <v>399</v>
      </c>
    </row>
    <row r="30" spans="1:13" x14ac:dyDescent="0.2">
      <c r="B30" s="273"/>
    </row>
    <row r="34" spans="2:10" x14ac:dyDescent="0.2">
      <c r="B34" s="2" t="s">
        <v>49</v>
      </c>
      <c r="D34" s="2" t="s">
        <v>52</v>
      </c>
    </row>
    <row r="35" spans="2:10" x14ac:dyDescent="0.2">
      <c r="B35" s="2" t="s">
        <v>50</v>
      </c>
      <c r="D35" s="2" t="s">
        <v>42</v>
      </c>
    </row>
    <row r="36" spans="2:10" x14ac:dyDescent="0.2">
      <c r="D36" s="154" t="s">
        <v>376</v>
      </c>
    </row>
    <row r="37" spans="2:10" x14ac:dyDescent="0.2">
      <c r="D37" s="154" t="s">
        <v>377</v>
      </c>
    </row>
    <row r="41" spans="2:10" x14ac:dyDescent="0.2">
      <c r="B41" s="284" t="s">
        <v>413</v>
      </c>
    </row>
    <row r="44" spans="2:10" x14ac:dyDescent="0.2">
      <c r="H44" s="55" t="s">
        <v>55</v>
      </c>
      <c r="I44" s="55" t="s">
        <v>56</v>
      </c>
      <c r="J44" s="55"/>
    </row>
    <row r="45" spans="2:10" x14ac:dyDescent="0.2">
      <c r="B45" s="154" t="s">
        <v>456</v>
      </c>
      <c r="H45" t="s">
        <v>417</v>
      </c>
      <c r="I45" s="58">
        <v>0.5</v>
      </c>
      <c r="J45" s="58"/>
    </row>
    <row r="46" spans="2:10" x14ac:dyDescent="0.2">
      <c r="B46" s="154" t="s">
        <v>457</v>
      </c>
      <c r="C46">
        <v>8.3299999999999999E-2</v>
      </c>
      <c r="H46" s="277" t="s">
        <v>418</v>
      </c>
      <c r="I46" s="58">
        <v>1</v>
      </c>
      <c r="J46" s="58"/>
    </row>
    <row r="47" spans="2:10" x14ac:dyDescent="0.2">
      <c r="B47" s="154" t="s">
        <v>458</v>
      </c>
      <c r="C47">
        <v>4.1700000000000001E-2</v>
      </c>
      <c r="H47" t="s">
        <v>454</v>
      </c>
      <c r="I47" s="58">
        <v>0.5</v>
      </c>
      <c r="J47" s="58"/>
    </row>
    <row r="48" spans="2:10" x14ac:dyDescent="0.2">
      <c r="H48" s="277" t="s">
        <v>419</v>
      </c>
      <c r="I48" s="58">
        <v>0.5</v>
      </c>
      <c r="J48" s="58"/>
    </row>
    <row r="49" spans="8:10" x14ac:dyDescent="0.2">
      <c r="H49" t="s">
        <v>420</v>
      </c>
      <c r="I49" s="58">
        <v>1</v>
      </c>
      <c r="J49" s="58"/>
    </row>
  </sheetData>
  <phoneticPr fontId="4" type="noConversion"/>
  <dataValidations disablePrompts="1" count="1">
    <dataValidation type="list" allowBlank="1" showInputMessage="1" showErrorMessage="1" sqref="B23" xr:uid="{00000000-0002-0000-0400-000000000000}">
      <formula1>yesno</formula1>
    </dataValidation>
  </dataValidations>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15"/>
  <sheetViews>
    <sheetView showGridLines="0" workbookViewId="0">
      <selection activeCell="D31" sqref="D31"/>
    </sheetView>
  </sheetViews>
  <sheetFormatPr defaultColWidth="8.85546875" defaultRowHeight="12.75" x14ac:dyDescent="0.2"/>
  <cols>
    <col min="1" max="1" width="1.140625" customWidth="1"/>
    <col min="2" max="2" width="64.42578125" customWidth="1"/>
    <col min="3" max="3" width="1.42578125" customWidth="1"/>
    <col min="4" max="4" width="5.42578125" customWidth="1"/>
    <col min="5" max="6" width="16" customWidth="1"/>
  </cols>
  <sheetData>
    <row r="1" spans="2:6" x14ac:dyDescent="0.2">
      <c r="B1" s="33" t="s">
        <v>29</v>
      </c>
      <c r="C1" s="33"/>
      <c r="D1" s="41"/>
      <c r="E1" s="41"/>
      <c r="F1" s="41"/>
    </row>
    <row r="2" spans="2:6" x14ac:dyDescent="0.2">
      <c r="B2" s="33" t="s">
        <v>30</v>
      </c>
      <c r="C2" s="33"/>
      <c r="D2" s="41"/>
      <c r="E2" s="41"/>
      <c r="F2" s="41"/>
    </row>
    <row r="3" spans="2:6" x14ac:dyDescent="0.2">
      <c r="B3" s="34"/>
      <c r="C3" s="34"/>
      <c r="D3" s="42"/>
      <c r="E3" s="42"/>
      <c r="F3" s="42"/>
    </row>
    <row r="4" spans="2:6" ht="51" x14ac:dyDescent="0.2">
      <c r="B4" s="34" t="s">
        <v>31</v>
      </c>
      <c r="C4" s="34"/>
      <c r="D4" s="42"/>
      <c r="E4" s="42"/>
      <c r="F4" s="42"/>
    </row>
    <row r="5" spans="2:6" x14ac:dyDescent="0.2">
      <c r="B5" s="34"/>
      <c r="C5" s="34"/>
      <c r="D5" s="42"/>
      <c r="E5" s="42"/>
      <c r="F5" s="42"/>
    </row>
    <row r="6" spans="2:6" x14ac:dyDescent="0.2">
      <c r="B6" s="33" t="s">
        <v>32</v>
      </c>
      <c r="C6" s="33"/>
      <c r="D6" s="41"/>
      <c r="E6" s="41" t="s">
        <v>33</v>
      </c>
      <c r="F6" s="41" t="s">
        <v>34</v>
      </c>
    </row>
    <row r="7" spans="2:6" ht="13.5" thickBot="1" x14ac:dyDescent="0.25">
      <c r="B7" s="34"/>
      <c r="C7" s="34"/>
      <c r="D7" s="42"/>
      <c r="E7" s="42"/>
      <c r="F7" s="42"/>
    </row>
    <row r="8" spans="2:6" ht="25.5" x14ac:dyDescent="0.2">
      <c r="B8" s="35" t="s">
        <v>35</v>
      </c>
      <c r="C8" s="36"/>
      <c r="D8" s="43"/>
      <c r="E8" s="43">
        <v>1</v>
      </c>
      <c r="F8" s="44"/>
    </row>
    <row r="9" spans="2:6" ht="26.25" thickBot="1" x14ac:dyDescent="0.25">
      <c r="B9" s="37"/>
      <c r="C9" s="38"/>
      <c r="D9" s="45"/>
      <c r="E9" s="46" t="s">
        <v>36</v>
      </c>
      <c r="F9" s="47" t="s">
        <v>37</v>
      </c>
    </row>
    <row r="10" spans="2:6" x14ac:dyDescent="0.2">
      <c r="B10" s="34"/>
      <c r="C10" s="34"/>
      <c r="D10" s="42"/>
      <c r="E10" s="42"/>
      <c r="F10" s="42"/>
    </row>
    <row r="11" spans="2:6" x14ac:dyDescent="0.2">
      <c r="B11" s="34"/>
      <c r="C11" s="34"/>
      <c r="D11" s="42"/>
      <c r="E11" s="42"/>
      <c r="F11" s="42"/>
    </row>
    <row r="12" spans="2:6" x14ac:dyDescent="0.2">
      <c r="B12" s="33" t="s">
        <v>38</v>
      </c>
      <c r="C12" s="33"/>
      <c r="D12" s="41"/>
      <c r="E12" s="41"/>
      <c r="F12" s="41"/>
    </row>
    <row r="13" spans="2:6" ht="13.5" thickBot="1" x14ac:dyDescent="0.25">
      <c r="B13" s="34"/>
      <c r="C13" s="34"/>
      <c r="D13" s="42"/>
      <c r="E13" s="42"/>
      <c r="F13" s="42"/>
    </row>
    <row r="14" spans="2:6" ht="39" thickBot="1" x14ac:dyDescent="0.25">
      <c r="B14" s="39" t="s">
        <v>39</v>
      </c>
      <c r="C14" s="40"/>
      <c r="D14" s="48"/>
      <c r="E14" s="48">
        <v>83</v>
      </c>
      <c r="F14" s="49" t="s">
        <v>37</v>
      </c>
    </row>
    <row r="15" spans="2:6" x14ac:dyDescent="0.2">
      <c r="B15" s="34"/>
      <c r="C15" s="34"/>
      <c r="D15" s="42"/>
      <c r="E15" s="42"/>
      <c r="F15" s="42"/>
    </row>
  </sheetData>
  <hyperlinks>
    <hyperlink ref="E9" location="'Instructions'!A1:L34" display="'Instructions'!A1:L34" xr:uid="{00000000-0004-0000-0500-000000000000}"/>
  </hyperlink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1"/>
  <sheetViews>
    <sheetView workbookViewId="0">
      <selection activeCell="B8" sqref="B8"/>
    </sheetView>
  </sheetViews>
  <sheetFormatPr defaultColWidth="8.85546875" defaultRowHeight="12.75" x14ac:dyDescent="0.2"/>
  <cols>
    <col min="1" max="1" width="13.140625" customWidth="1"/>
    <col min="2" max="2" width="87.140625" customWidth="1"/>
  </cols>
  <sheetData>
    <row r="1" spans="1:3" ht="15.75" x14ac:dyDescent="0.2">
      <c r="A1" s="244" t="s">
        <v>326</v>
      </c>
      <c r="B1" s="244" t="s">
        <v>327</v>
      </c>
      <c r="C1" s="244" t="s">
        <v>328</v>
      </c>
    </row>
    <row r="2" spans="1:3" s="256" customFormat="1" ht="13.35" customHeight="1" x14ac:dyDescent="0.2">
      <c r="A2" s="256">
        <v>45810</v>
      </c>
      <c r="B2" s="256" t="s">
        <v>460</v>
      </c>
      <c r="C2" s="256" t="s">
        <v>459</v>
      </c>
    </row>
    <row r="3" spans="1:3" x14ac:dyDescent="0.2">
      <c r="A3" s="256">
        <v>44897</v>
      </c>
      <c r="B3" s="403" t="s">
        <v>449</v>
      </c>
      <c r="C3" s="404" t="s">
        <v>448</v>
      </c>
    </row>
    <row r="4" spans="1:3" s="154" customFormat="1" ht="25.5" x14ac:dyDescent="0.2">
      <c r="A4" s="256">
        <v>42830</v>
      </c>
      <c r="B4" s="268" t="s">
        <v>372</v>
      </c>
      <c r="C4" s="268" t="s">
        <v>373</v>
      </c>
    </row>
    <row r="5" spans="1:3" s="154" customFormat="1" ht="25.5" x14ac:dyDescent="0.2">
      <c r="A5" s="256">
        <v>42471</v>
      </c>
      <c r="B5" s="257" t="s">
        <v>370</v>
      </c>
      <c r="C5" s="268" t="s">
        <v>330</v>
      </c>
    </row>
    <row r="6" spans="1:3" s="154" customFormat="1" x14ac:dyDescent="0.2">
      <c r="A6" s="256">
        <v>42460</v>
      </c>
      <c r="B6" s="257" t="s">
        <v>369</v>
      </c>
      <c r="C6" s="257" t="s">
        <v>330</v>
      </c>
    </row>
    <row r="7" spans="1:3" x14ac:dyDescent="0.2">
      <c r="A7" s="231">
        <v>42361</v>
      </c>
      <c r="B7" s="232" t="s">
        <v>366</v>
      </c>
      <c r="C7" s="232" t="s">
        <v>330</v>
      </c>
    </row>
    <row r="8" spans="1:3" x14ac:dyDescent="0.2">
      <c r="A8" s="231">
        <v>42327</v>
      </c>
      <c r="B8" s="232" t="s">
        <v>365</v>
      </c>
      <c r="C8" s="232" t="s">
        <v>330</v>
      </c>
    </row>
    <row r="9" spans="1:3" ht="24" x14ac:dyDescent="0.2">
      <c r="A9" s="231">
        <v>42272</v>
      </c>
      <c r="B9" s="232" t="s">
        <v>358</v>
      </c>
      <c r="C9" s="232" t="s">
        <v>330</v>
      </c>
    </row>
    <row r="10" spans="1:3" s="248" customFormat="1" ht="12" x14ac:dyDescent="0.2">
      <c r="A10" s="231">
        <v>42219</v>
      </c>
      <c r="B10" s="232" t="s">
        <v>353</v>
      </c>
      <c r="C10" s="233" t="s">
        <v>330</v>
      </c>
    </row>
    <row r="11" spans="1:3" ht="54.95" customHeight="1" x14ac:dyDescent="0.2">
      <c r="A11" s="231" t="s">
        <v>350</v>
      </c>
      <c r="B11" s="232" t="s">
        <v>351</v>
      </c>
      <c r="C11" s="232" t="s">
        <v>330</v>
      </c>
    </row>
    <row r="12" spans="1:3" ht="24.75" customHeight="1" x14ac:dyDescent="0.2">
      <c r="A12" s="231">
        <v>42178</v>
      </c>
      <c r="B12" s="232" t="s">
        <v>349</v>
      </c>
      <c r="C12" s="232" t="s">
        <v>330</v>
      </c>
    </row>
    <row r="13" spans="1:3" ht="24.75" customHeight="1" x14ac:dyDescent="0.2">
      <c r="A13" s="231">
        <v>42170</v>
      </c>
      <c r="B13" s="232" t="s">
        <v>329</v>
      </c>
      <c r="C13" s="232" t="s">
        <v>330</v>
      </c>
    </row>
    <row r="14" spans="1:3" ht="24.75" customHeight="1" x14ac:dyDescent="0.2">
      <c r="A14" s="231">
        <v>42164</v>
      </c>
      <c r="B14" s="232" t="s">
        <v>331</v>
      </c>
      <c r="C14" s="232" t="s">
        <v>330</v>
      </c>
    </row>
    <row r="15" spans="1:3" ht="24.75" customHeight="1" x14ac:dyDescent="0.2">
      <c r="A15" s="231">
        <v>42096</v>
      </c>
      <c r="B15" s="232" t="s">
        <v>332</v>
      </c>
      <c r="C15" s="232" t="s">
        <v>330</v>
      </c>
    </row>
    <row r="16" spans="1:3" ht="24.75" customHeight="1" x14ac:dyDescent="0.2">
      <c r="A16" s="231">
        <v>42072</v>
      </c>
      <c r="B16" s="232" t="s">
        <v>333</v>
      </c>
      <c r="C16" s="233" t="s">
        <v>330</v>
      </c>
    </row>
    <row r="17" spans="1:3" ht="24.75" customHeight="1" x14ac:dyDescent="0.2">
      <c r="A17" s="231">
        <v>42065</v>
      </c>
      <c r="B17" s="232" t="s">
        <v>334</v>
      </c>
      <c r="C17" s="233" t="s">
        <v>330</v>
      </c>
    </row>
    <row r="18" spans="1:3" ht="24.75" customHeight="1" x14ac:dyDescent="0.2">
      <c r="A18" s="231">
        <v>41975</v>
      </c>
      <c r="B18" s="232" t="s">
        <v>335</v>
      </c>
      <c r="C18" s="233" t="s">
        <v>330</v>
      </c>
    </row>
    <row r="19" spans="1:3" ht="24.75" customHeight="1" x14ac:dyDescent="0.2">
      <c r="A19" s="231">
        <v>41963</v>
      </c>
      <c r="B19" s="232" t="s">
        <v>336</v>
      </c>
      <c r="C19" s="233" t="s">
        <v>330</v>
      </c>
    </row>
    <row r="20" spans="1:3" ht="24.75" customHeight="1" x14ac:dyDescent="0.2">
      <c r="A20" s="231">
        <v>41953</v>
      </c>
      <c r="B20" s="232" t="s">
        <v>337</v>
      </c>
      <c r="C20" s="233" t="s">
        <v>330</v>
      </c>
    </row>
    <row r="21" spans="1:3" ht="24.75" customHeight="1" x14ac:dyDescent="0.2">
      <c r="A21" s="231">
        <v>41943</v>
      </c>
      <c r="B21" s="232" t="s">
        <v>338</v>
      </c>
      <c r="C21" s="233" t="s">
        <v>330</v>
      </c>
    </row>
    <row r="22" spans="1:3" ht="24.75" customHeight="1" x14ac:dyDescent="0.2">
      <c r="A22" s="231">
        <v>41904</v>
      </c>
      <c r="B22" s="232" t="s">
        <v>339</v>
      </c>
      <c r="C22" s="233" t="s">
        <v>330</v>
      </c>
    </row>
    <row r="23" spans="1:3" ht="24.75" customHeight="1" x14ac:dyDescent="0.2">
      <c r="A23" s="231">
        <v>41816</v>
      </c>
      <c r="B23" s="232" t="s">
        <v>340</v>
      </c>
      <c r="C23" s="233" t="s">
        <v>330</v>
      </c>
    </row>
    <row r="24" spans="1:3" ht="24.75" customHeight="1" x14ac:dyDescent="0.2">
      <c r="A24" s="231">
        <v>41816</v>
      </c>
      <c r="B24" s="232" t="s">
        <v>341</v>
      </c>
      <c r="C24" s="233" t="s">
        <v>330</v>
      </c>
    </row>
    <row r="25" spans="1:3" ht="24.75" customHeight="1" x14ac:dyDescent="0.2">
      <c r="A25" s="231">
        <v>41809</v>
      </c>
      <c r="B25" s="232" t="s">
        <v>342</v>
      </c>
      <c r="C25" s="233" t="s">
        <v>330</v>
      </c>
    </row>
    <row r="26" spans="1:3" ht="24.75" customHeight="1" x14ac:dyDescent="0.2">
      <c r="A26" s="231">
        <v>41772</v>
      </c>
      <c r="B26" s="232" t="s">
        <v>343</v>
      </c>
      <c r="C26" s="233" t="s">
        <v>330</v>
      </c>
    </row>
    <row r="27" spans="1:3" ht="24.75" customHeight="1" x14ac:dyDescent="0.2">
      <c r="A27" s="231">
        <v>41766</v>
      </c>
      <c r="B27" s="232" t="s">
        <v>344</v>
      </c>
      <c r="C27" s="233" t="s">
        <v>330</v>
      </c>
    </row>
    <row r="28" spans="1:3" ht="24.75" customHeight="1" x14ac:dyDescent="0.2">
      <c r="A28" s="231">
        <v>41753</v>
      </c>
      <c r="B28" s="232" t="s">
        <v>345</v>
      </c>
      <c r="C28" s="233" t="s">
        <v>330</v>
      </c>
    </row>
    <row r="29" spans="1:3" ht="24.75" customHeight="1" x14ac:dyDescent="0.2">
      <c r="A29" s="231">
        <v>41751</v>
      </c>
      <c r="B29" s="232" t="s">
        <v>346</v>
      </c>
      <c r="C29" s="233" t="s">
        <v>330</v>
      </c>
    </row>
    <row r="30" spans="1:3" ht="24.75" customHeight="1" x14ac:dyDescent="0.2">
      <c r="A30" s="231">
        <v>41730</v>
      </c>
      <c r="B30" s="232" t="s">
        <v>347</v>
      </c>
      <c r="C30" s="233" t="s">
        <v>330</v>
      </c>
    </row>
    <row r="31" spans="1:3" ht="24.75" customHeight="1" x14ac:dyDescent="0.2">
      <c r="A31" s="234">
        <v>41351</v>
      </c>
      <c r="B31" s="234" t="s">
        <v>348</v>
      </c>
      <c r="C31" s="234" t="s">
        <v>330</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ColWidth="8.85546875" defaultRowHeight="12.75" x14ac:dyDescent="0.2"/>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D62BA60F9F5946BAAA33BF008F5130" ma:contentTypeVersion="16" ma:contentTypeDescription="Create a new document." ma:contentTypeScope="" ma:versionID="23f359663e4c01cc49db73f3e8c50753">
  <xsd:schema xmlns:xsd="http://www.w3.org/2001/XMLSchema" xmlns:xs="http://www.w3.org/2001/XMLSchema" xmlns:p="http://schemas.microsoft.com/office/2006/metadata/properties" xmlns:ns1="http://schemas.microsoft.com/sharepoint/v3" xmlns:ns2="047e85cd-dc65-487d-9056-92c306d04e02" xmlns:ns3="ce9b8602-e11a-436e-9837-dbef036771d6" targetNamespace="http://schemas.microsoft.com/office/2006/metadata/properties" ma:root="true" ma:fieldsID="09490683993687969ce81f1c0d02e6b8" ns1:_="" ns2:_="" ns3:_="">
    <xsd:import namespace="http://schemas.microsoft.com/sharepoint/v3"/>
    <xsd:import namespace="047e85cd-dc65-487d-9056-92c306d04e02"/>
    <xsd:import namespace="ce9b8602-e11a-436e-9837-dbef036771d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7e85cd-dc65-487d-9056-92c306d04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645cde2-fd77-4670-b437-b7ccc5384a8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e9b8602-e11a-436e-9837-dbef036771d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ef3400-2168-41a3-993e-ed7983f1daee}" ma:internalName="TaxCatchAll" ma:showField="CatchAllData" ma:web="ce9b8602-e11a-436e-9837-dbef036771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47e85cd-dc65-487d-9056-92c306d04e02">
      <Terms xmlns="http://schemas.microsoft.com/office/infopath/2007/PartnerControls"/>
    </lcf76f155ced4ddcb4097134ff3c332f>
    <_ip_UnifiedCompliancePolicyProperties xmlns="http://schemas.microsoft.com/sharepoint/v3" xsi:nil="true"/>
    <TaxCatchAll xmlns="ce9b8602-e11a-436e-9837-dbef036771d6" xsi:nil="true"/>
  </documentManagement>
</p:properties>
</file>

<file path=customXml/itemProps1.xml><?xml version="1.0" encoding="utf-8"?>
<ds:datastoreItem xmlns:ds="http://schemas.openxmlformats.org/officeDocument/2006/customXml" ds:itemID="{4E81D8C8-5E16-4977-9990-A17EAADEF7C1}"/>
</file>

<file path=customXml/itemProps2.xml><?xml version="1.0" encoding="utf-8"?>
<ds:datastoreItem xmlns:ds="http://schemas.openxmlformats.org/officeDocument/2006/customXml" ds:itemID="{D6CA515E-AE08-492B-A19C-85A5AF968D5F}"/>
</file>

<file path=customXml/itemProps3.xml><?xml version="1.0" encoding="utf-8"?>
<ds:datastoreItem xmlns:ds="http://schemas.openxmlformats.org/officeDocument/2006/customXml" ds:itemID="{BDC28203-AA78-467E-88AB-C8BB5E493928}"/>
</file>

<file path=docMetadata/LabelInfo.xml><?xml version="1.0" encoding="utf-8"?>
<clbl:labelList xmlns:clbl="http://schemas.microsoft.com/office/2020/mipLabelMetadata">
  <clbl:label id="{bc96e25d-2911-40a7-a465-3a625d9ee4db}" enabled="0" method="" siteId="{bc96e25d-2911-40a7-a465-3a625d9ee4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30</vt:i4>
      </vt:variant>
    </vt:vector>
  </HeadingPairs>
  <TitlesOfParts>
    <vt:vector size="38" baseType="lpstr">
      <vt:lpstr>Instructions</vt:lpstr>
      <vt:lpstr>CMW</vt:lpstr>
      <vt:lpstr>CMAreas</vt:lpstr>
      <vt:lpstr>Cat 1 Pt Calc</vt:lpstr>
      <vt:lpstr>picklists</vt:lpstr>
      <vt:lpstr>Compatibility Report</vt:lpstr>
      <vt:lpstr>Revision Log</vt:lpstr>
      <vt:lpstr>Sheet1</vt:lpstr>
      <vt:lpstr>Author</vt:lpstr>
      <vt:lpstr>Cat_4_Points</vt:lpstr>
      <vt:lpstr>Cat2PointPerMonthChairs</vt:lpstr>
      <vt:lpstr>Cat2PointPerMonthMembers</vt:lpstr>
      <vt:lpstr>Category_1_Points</vt:lpstr>
      <vt:lpstr>Category_2_Points</vt:lpstr>
      <vt:lpstr>Category_3_Points</vt:lpstr>
      <vt:lpstr>Category_5_Points</vt:lpstr>
      <vt:lpstr>Category_7_Points</vt:lpstr>
      <vt:lpstr>CertificationType</vt:lpstr>
      <vt:lpstr>certtype</vt:lpstr>
      <vt:lpstr>cmcycle</vt:lpstr>
      <vt:lpstr>CMCycleLengthValue</vt:lpstr>
      <vt:lpstr>CMEND</vt:lpstr>
      <vt:lpstr>CMSTART</vt:lpstr>
      <vt:lpstr>CommRole</vt:lpstr>
      <vt:lpstr>cycle</vt:lpstr>
      <vt:lpstr>cycleend</vt:lpstr>
      <vt:lpstr>cyclestart</vt:lpstr>
      <vt:lpstr>Delivery</vt:lpstr>
      <vt:lpstr>end</vt:lpstr>
      <vt:lpstr>maxmonths</vt:lpstr>
      <vt:lpstr>pointcategory</vt:lpstr>
      <vt:lpstr>CMW!Print_Area</vt:lpstr>
      <vt:lpstr>speccond</vt:lpstr>
      <vt:lpstr>start</vt:lpstr>
      <vt:lpstr>teach</vt:lpstr>
      <vt:lpstr>yesno</vt:lpstr>
      <vt:lpstr>yespostal</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dc:creator>
  <cp:lastModifiedBy>Pam Trim</cp:lastModifiedBy>
  <cp:lastPrinted>2015-03-09T15:35:07Z</cp:lastPrinted>
  <dcterms:created xsi:type="dcterms:W3CDTF">2009-03-11T17:23:44Z</dcterms:created>
  <dcterms:modified xsi:type="dcterms:W3CDTF">2026-01-09T20:23:52Z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0x010100DBD62BA60F9F5946BAAA33BF008F5130</vt:lpwstr>
  </property>
</Properties>
</file>